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codeName="ThisWorkbook"/>
  <mc:AlternateContent xmlns:mc="http://schemas.openxmlformats.org/markup-compatibility/2006">
    <mc:Choice Requires="x15">
      <x15ac:absPath xmlns:x15ac="http://schemas.microsoft.com/office/spreadsheetml/2010/11/ac" url="N:\Shared Data\SEE\Performance &amp; E&amp;D\Management\Jay Wright\WMT V2\Dashboard\Dashboard 2022\New Dashboards\"/>
    </mc:Choice>
  </mc:AlternateContent>
  <xr:revisionPtr revIDLastSave="0" documentId="13_ncr:1_{8E9104A4-06E6-4DEA-9B88-165A28B9AC6C}" xr6:coauthVersionLast="45" xr6:coauthVersionMax="46" xr10:uidLastSave="{00000000-0000-0000-0000-000000000000}"/>
  <bookViews>
    <workbookView showSheetTabs="0" xWindow="-120" yWindow="-120" windowWidth="29040" windowHeight="1584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data'!$A$1:$U$3732</definedName>
    <definedName name="_xlnm._FilterDatabase" localSheetId="3" hidden="1">'caseload data'!$A$1:$X$1636</definedName>
    <definedName name="_xlnm._FilterDatabase" localSheetId="1" hidden="1">PDUs!$Y$1:$Y$476</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11" i="100" l="1"/>
  <c r="E211" i="100"/>
  <c r="F211" i="100"/>
  <c r="G211" i="100"/>
  <c r="H211" i="100"/>
  <c r="I211" i="100"/>
  <c r="J211" i="100"/>
  <c r="K211" i="100"/>
  <c r="L211" i="100"/>
  <c r="M211" i="100"/>
  <c r="N211" i="100"/>
  <c r="O211" i="100"/>
  <c r="P211" i="100"/>
  <c r="Q211" i="100"/>
  <c r="R211" i="100"/>
  <c r="S211" i="100"/>
  <c r="D211" i="100"/>
  <c r="T206" i="100"/>
  <c r="E206" i="100"/>
  <c r="F206" i="100"/>
  <c r="G206" i="100"/>
  <c r="H206" i="100"/>
  <c r="I206" i="100"/>
  <c r="J206" i="100"/>
  <c r="K206" i="100"/>
  <c r="L206" i="100"/>
  <c r="M206" i="100"/>
  <c r="N206" i="100"/>
  <c r="O206" i="100"/>
  <c r="P206" i="100"/>
  <c r="Q206" i="100"/>
  <c r="R206" i="100"/>
  <c r="S206" i="100"/>
  <c r="D206" i="100"/>
  <c r="T201" i="100"/>
  <c r="E201" i="100"/>
  <c r="F201" i="100"/>
  <c r="G201" i="100"/>
  <c r="H201" i="100"/>
  <c r="I201" i="100"/>
  <c r="J201" i="100"/>
  <c r="K201" i="100"/>
  <c r="L201" i="100"/>
  <c r="M201" i="100"/>
  <c r="N201" i="100"/>
  <c r="O201" i="100"/>
  <c r="P201" i="100"/>
  <c r="Q201" i="100"/>
  <c r="R201" i="100"/>
  <c r="S201" i="100"/>
  <c r="D201" i="100"/>
  <c r="T196" i="100"/>
  <c r="E196" i="100"/>
  <c r="F196" i="100"/>
  <c r="G196" i="100"/>
  <c r="H196" i="100"/>
  <c r="I196" i="100"/>
  <c r="J196" i="100"/>
  <c r="K196" i="100"/>
  <c r="L196" i="100"/>
  <c r="M196" i="100"/>
  <c r="N196" i="100"/>
  <c r="O196" i="100"/>
  <c r="P196" i="100"/>
  <c r="Q196" i="100"/>
  <c r="R196" i="100"/>
  <c r="S196" i="100"/>
  <c r="D196" i="100"/>
  <c r="T191" i="100"/>
  <c r="E191" i="100"/>
  <c r="F191" i="100"/>
  <c r="G191" i="100"/>
  <c r="H191" i="100"/>
  <c r="I191" i="100"/>
  <c r="J191" i="100"/>
  <c r="K191" i="100"/>
  <c r="L191" i="100"/>
  <c r="M191" i="100"/>
  <c r="N191" i="100"/>
  <c r="O191" i="100"/>
  <c r="P191" i="100"/>
  <c r="Q191" i="100"/>
  <c r="R191" i="100"/>
  <c r="S191" i="100"/>
  <c r="D191" i="100"/>
  <c r="T186" i="100"/>
  <c r="E186" i="100"/>
  <c r="F186" i="100"/>
  <c r="G186" i="100"/>
  <c r="H186" i="100"/>
  <c r="I186" i="100"/>
  <c r="J186" i="100"/>
  <c r="K186" i="100"/>
  <c r="L186" i="100"/>
  <c r="M186" i="100"/>
  <c r="N186" i="100"/>
  <c r="O186" i="100"/>
  <c r="P186" i="100"/>
  <c r="Q186" i="100"/>
  <c r="R186" i="100"/>
  <c r="S186" i="100"/>
  <c r="D186" i="100"/>
  <c r="T181" i="100"/>
  <c r="E181" i="100"/>
  <c r="F181" i="100"/>
  <c r="G181" i="100"/>
  <c r="H181" i="100"/>
  <c r="I181" i="100"/>
  <c r="J181" i="100"/>
  <c r="K181" i="100"/>
  <c r="L181" i="100"/>
  <c r="M181" i="100"/>
  <c r="N181" i="100"/>
  <c r="O181" i="100"/>
  <c r="P181" i="100"/>
  <c r="Q181" i="100"/>
  <c r="R181" i="100"/>
  <c r="S181" i="100"/>
  <c r="D181" i="100"/>
  <c r="T176" i="100"/>
  <c r="E176" i="100"/>
  <c r="F176" i="100"/>
  <c r="G176" i="100"/>
  <c r="H176" i="100"/>
  <c r="I176" i="100"/>
  <c r="J176" i="100"/>
  <c r="K176" i="100"/>
  <c r="L176" i="100"/>
  <c r="M176" i="100"/>
  <c r="N176" i="100"/>
  <c r="O176" i="100"/>
  <c r="P176" i="100"/>
  <c r="Q176" i="100"/>
  <c r="R176" i="100"/>
  <c r="S176" i="100"/>
  <c r="D176" i="100"/>
  <c r="T171" i="100"/>
  <c r="E171" i="100"/>
  <c r="F171" i="100"/>
  <c r="G171" i="100"/>
  <c r="H171" i="100"/>
  <c r="I171" i="100"/>
  <c r="J171" i="100"/>
  <c r="K171" i="100"/>
  <c r="L171" i="100"/>
  <c r="M171" i="100"/>
  <c r="N171" i="100"/>
  <c r="O171" i="100"/>
  <c r="P171" i="100"/>
  <c r="Q171" i="100"/>
  <c r="R171" i="100"/>
  <c r="S171" i="100"/>
  <c r="D171" i="100"/>
  <c r="T166" i="100"/>
  <c r="E166" i="100"/>
  <c r="F166" i="100"/>
  <c r="G166" i="100"/>
  <c r="H166" i="100"/>
  <c r="I166" i="100"/>
  <c r="J166" i="100"/>
  <c r="K166" i="100"/>
  <c r="L166" i="100"/>
  <c r="M166" i="100"/>
  <c r="N166" i="100"/>
  <c r="O166" i="100"/>
  <c r="P166" i="100"/>
  <c r="Q166" i="100"/>
  <c r="R166" i="100"/>
  <c r="S166" i="100"/>
  <c r="D166" i="100"/>
  <c r="T161" i="100"/>
  <c r="E161" i="100"/>
  <c r="F161" i="100"/>
  <c r="G161" i="100"/>
  <c r="H161" i="100"/>
  <c r="I161" i="100"/>
  <c r="J161" i="100"/>
  <c r="K161" i="100"/>
  <c r="L161" i="100"/>
  <c r="M161" i="100"/>
  <c r="N161" i="100"/>
  <c r="O161" i="100"/>
  <c r="P161" i="100"/>
  <c r="Q161" i="100"/>
  <c r="R161" i="100"/>
  <c r="S161" i="100"/>
  <c r="D161" i="100"/>
  <c r="T156" i="100"/>
  <c r="E156" i="100"/>
  <c r="F156" i="100"/>
  <c r="G156" i="100"/>
  <c r="H156" i="100"/>
  <c r="I156" i="100"/>
  <c r="J156" i="100"/>
  <c r="K156" i="100"/>
  <c r="L156" i="100"/>
  <c r="M156" i="100"/>
  <c r="N156" i="100"/>
  <c r="O156" i="100"/>
  <c r="P156" i="100"/>
  <c r="Q156" i="100"/>
  <c r="R156" i="100"/>
  <c r="S156" i="100"/>
  <c r="D156" i="100"/>
  <c r="T151" i="100"/>
  <c r="E151" i="100"/>
  <c r="F151" i="100"/>
  <c r="G151" i="100"/>
  <c r="H151" i="100"/>
  <c r="I151" i="100"/>
  <c r="J151" i="100"/>
  <c r="K151" i="100"/>
  <c r="L151" i="100"/>
  <c r="M151" i="100"/>
  <c r="N151" i="100"/>
  <c r="O151" i="100"/>
  <c r="P151" i="100"/>
  <c r="Q151" i="100"/>
  <c r="R151" i="100"/>
  <c r="S151" i="100"/>
  <c r="D151" i="100"/>
  <c r="T141" i="100" a="1"/>
  <c r="T141" i="100" s="1"/>
  <c r="E141" i="100" a="1"/>
  <c r="E141" i="100" s="1"/>
  <c r="F141" i="100" a="1"/>
  <c r="F141" i="100" s="1"/>
  <c r="G141" i="100" a="1"/>
  <c r="G141" i="100" s="1"/>
  <c r="H141" i="100" a="1"/>
  <c r="H141" i="100" s="1"/>
  <c r="I141" i="100" a="1"/>
  <c r="I141" i="100" s="1"/>
  <c r="J141" i="100" a="1"/>
  <c r="J141" i="100" s="1"/>
  <c r="K141" i="100" a="1"/>
  <c r="K141" i="100" s="1"/>
  <c r="L141" i="100" a="1"/>
  <c r="L141" i="100" s="1"/>
  <c r="M141" i="100" a="1"/>
  <c r="M141" i="100" s="1"/>
  <c r="N141" i="100" a="1"/>
  <c r="N141" i="100" s="1"/>
  <c r="O141" i="100" a="1"/>
  <c r="O141" i="100" s="1"/>
  <c r="P141" i="100" a="1"/>
  <c r="P141" i="100" s="1"/>
  <c r="Q141" i="100" a="1"/>
  <c r="Q141" i="100" s="1"/>
  <c r="R141" i="100" a="1"/>
  <c r="R141" i="100" s="1"/>
  <c r="S141" i="100" a="1"/>
  <c r="S141" i="100" s="1"/>
  <c r="D141" i="100" a="1"/>
  <c r="D141" i="100" s="1"/>
  <c r="T136" i="100" a="1"/>
  <c r="T136" i="100" s="1"/>
  <c r="E136" i="100" a="1"/>
  <c r="E136" i="100" s="1"/>
  <c r="F136" i="100" a="1"/>
  <c r="F136" i="100" s="1"/>
  <c r="G136" i="100" a="1"/>
  <c r="G136" i="100" s="1"/>
  <c r="H136" i="100" a="1"/>
  <c r="H136" i="100" s="1"/>
  <c r="I136" i="100" a="1"/>
  <c r="I136" i="100" s="1"/>
  <c r="J136" i="100" a="1"/>
  <c r="J136" i="100" s="1"/>
  <c r="K136" i="100" a="1"/>
  <c r="K136" i="100" s="1"/>
  <c r="L136" i="100" a="1"/>
  <c r="L136" i="100" s="1"/>
  <c r="M136" i="100" a="1"/>
  <c r="M136" i="100" s="1"/>
  <c r="N136" i="100" a="1"/>
  <c r="N136" i="100" s="1"/>
  <c r="O136" i="100" a="1"/>
  <c r="O136" i="100" s="1"/>
  <c r="P136" i="100" a="1"/>
  <c r="P136" i="100" s="1"/>
  <c r="Q136" i="100" a="1"/>
  <c r="Q136" i="100" s="1"/>
  <c r="R136" i="100" a="1"/>
  <c r="R136" i="100" s="1"/>
  <c r="S136" i="100" a="1"/>
  <c r="S136" i="100" s="1"/>
  <c r="D136" i="100" a="1"/>
  <c r="D136" i="100" s="1"/>
  <c r="T131" i="100" a="1"/>
  <c r="T131" i="100" s="1"/>
  <c r="E131" i="100" a="1"/>
  <c r="E131" i="100" s="1"/>
  <c r="F131" i="100" a="1"/>
  <c r="F131" i="100" s="1"/>
  <c r="G131" i="100" a="1"/>
  <c r="G131" i="100" s="1"/>
  <c r="H131" i="100" a="1"/>
  <c r="H131" i="100" s="1"/>
  <c r="I131" i="100" a="1"/>
  <c r="I131" i="100" s="1"/>
  <c r="J131" i="100" a="1"/>
  <c r="J131" i="100" s="1"/>
  <c r="K131" i="100" a="1"/>
  <c r="K131" i="100" s="1"/>
  <c r="L131" i="100" a="1"/>
  <c r="L131" i="100" s="1"/>
  <c r="M131" i="100" a="1"/>
  <c r="M131" i="100" s="1"/>
  <c r="N131" i="100" a="1"/>
  <c r="N131" i="100" s="1"/>
  <c r="O131" i="100" a="1"/>
  <c r="O131" i="100" s="1"/>
  <c r="P131" i="100" a="1"/>
  <c r="P131" i="100" s="1"/>
  <c r="Q131" i="100" a="1"/>
  <c r="Q131" i="100" s="1"/>
  <c r="R131" i="100" a="1"/>
  <c r="R131" i="100" s="1"/>
  <c r="S131" i="100" a="1"/>
  <c r="S131" i="100" s="1"/>
  <c r="D131" i="100" a="1"/>
  <c r="D131" i="100" s="1"/>
  <c r="T126" i="100" a="1"/>
  <c r="T126" i="100" s="1"/>
  <c r="E126" i="100" a="1"/>
  <c r="E126" i="100" s="1"/>
  <c r="F126" i="100" a="1"/>
  <c r="F126" i="100" s="1"/>
  <c r="G126" i="100" a="1"/>
  <c r="G126" i="100" s="1"/>
  <c r="H126" i="100" a="1"/>
  <c r="H126" i="100" s="1"/>
  <c r="I126" i="100" a="1"/>
  <c r="I126" i="100" s="1"/>
  <c r="J126" i="100" a="1"/>
  <c r="J126" i="100" s="1"/>
  <c r="K126" i="100" a="1"/>
  <c r="K126" i="100" s="1"/>
  <c r="L126" i="100" a="1"/>
  <c r="L126" i="100" s="1"/>
  <c r="M126" i="100" a="1"/>
  <c r="M126" i="100" s="1"/>
  <c r="N126" i="100" a="1"/>
  <c r="N126" i="100" s="1"/>
  <c r="O126" i="100" a="1"/>
  <c r="O126" i="100" s="1"/>
  <c r="P126" i="100" a="1"/>
  <c r="P126" i="100" s="1"/>
  <c r="Q126" i="100" a="1"/>
  <c r="Q126" i="100" s="1"/>
  <c r="R126" i="100" a="1"/>
  <c r="R126" i="100" s="1"/>
  <c r="S126" i="100" a="1"/>
  <c r="S126" i="100" s="1"/>
  <c r="D126" i="100" a="1"/>
  <c r="D126" i="100" s="1"/>
  <c r="T121" i="100" a="1"/>
  <c r="T121" i="100" s="1"/>
  <c r="E121" i="100" a="1"/>
  <c r="E121" i="100" s="1"/>
  <c r="F121" i="100" a="1"/>
  <c r="F121" i="100" s="1"/>
  <c r="G121" i="100" a="1"/>
  <c r="G121" i="100" s="1"/>
  <c r="H121" i="100" a="1"/>
  <c r="H121" i="100" s="1"/>
  <c r="I121" i="100" a="1"/>
  <c r="I121" i="100" s="1"/>
  <c r="J121" i="100" a="1"/>
  <c r="J121" i="100" s="1"/>
  <c r="K121" i="100" a="1"/>
  <c r="K121" i="100" s="1"/>
  <c r="L121" i="100" a="1"/>
  <c r="L121" i="100" s="1"/>
  <c r="M121" i="100" a="1"/>
  <c r="M121" i="100" s="1"/>
  <c r="N121" i="100" a="1"/>
  <c r="N121" i="100" s="1"/>
  <c r="O121" i="100" a="1"/>
  <c r="O121" i="100" s="1"/>
  <c r="P121" i="100" a="1"/>
  <c r="P121" i="100" s="1"/>
  <c r="Q121" i="100" a="1"/>
  <c r="Q121" i="100" s="1"/>
  <c r="R121" i="100" a="1"/>
  <c r="R121" i="100" s="1"/>
  <c r="S121" i="100" a="1"/>
  <c r="S121" i="100" s="1"/>
  <c r="D121" i="100" a="1"/>
  <c r="D121" i="100" s="1"/>
  <c r="T116" i="100" a="1"/>
  <c r="T116" i="100" s="1"/>
  <c r="E116" i="100" a="1"/>
  <c r="E116" i="100" s="1"/>
  <c r="F116" i="100" a="1"/>
  <c r="F116" i="100" s="1"/>
  <c r="G116" i="100" a="1"/>
  <c r="G116" i="100" s="1"/>
  <c r="H116" i="100" a="1"/>
  <c r="H116" i="100" s="1"/>
  <c r="I116" i="100" a="1"/>
  <c r="I116" i="100" s="1"/>
  <c r="J116" i="100" a="1"/>
  <c r="J116" i="100" s="1"/>
  <c r="K116" i="100" a="1"/>
  <c r="K116" i="100" s="1"/>
  <c r="L116" i="100" a="1"/>
  <c r="L116" i="100" s="1"/>
  <c r="M116" i="100" a="1"/>
  <c r="M116" i="100" s="1"/>
  <c r="N116" i="100" a="1"/>
  <c r="N116" i="100" s="1"/>
  <c r="O116" i="100" a="1"/>
  <c r="O116" i="100" s="1"/>
  <c r="P116" i="100" a="1"/>
  <c r="P116" i="100" s="1"/>
  <c r="Q116" i="100" a="1"/>
  <c r="Q116" i="100" s="1"/>
  <c r="R116" i="100" a="1"/>
  <c r="R116" i="100" s="1"/>
  <c r="S116" i="100" a="1"/>
  <c r="S116" i="100" s="1"/>
  <c r="D116" i="100" a="1"/>
  <c r="D116" i="100" s="1"/>
  <c r="T109" i="100" a="1"/>
  <c r="T109" i="100" s="1"/>
  <c r="T108" i="100" a="1"/>
  <c r="T108" i="100" s="1"/>
  <c r="D107" i="100" a="1"/>
  <c r="D107" i="100" s="1"/>
  <c r="E107" i="100" a="1"/>
  <c r="E107" i="100" s="1"/>
  <c r="F107" i="100" a="1"/>
  <c r="F107" i="100" s="1"/>
  <c r="G107" i="100" a="1"/>
  <c r="G107" i="100" s="1"/>
  <c r="I107" i="100" a="1"/>
  <c r="I107" i="100" s="1"/>
  <c r="J107" i="100" a="1"/>
  <c r="J107" i="100" s="1"/>
  <c r="K107" i="100" a="1"/>
  <c r="K107" i="100" s="1"/>
  <c r="L107" i="100" a="1"/>
  <c r="L107" i="100" s="1"/>
  <c r="M107" i="100" a="1"/>
  <c r="M107" i="100" s="1"/>
  <c r="N107" i="100" a="1"/>
  <c r="N107" i="100" s="1"/>
  <c r="O107" i="100" a="1"/>
  <c r="O107" i="100" s="1"/>
  <c r="P107" i="100" a="1"/>
  <c r="P107" i="100" s="1"/>
  <c r="Q107" i="100" a="1"/>
  <c r="Q107" i="100" s="1"/>
  <c r="R107" i="100" a="1"/>
  <c r="R107" i="100" s="1"/>
  <c r="S107" i="100" a="1"/>
  <c r="S107" i="100" s="1"/>
  <c r="I111" i="100" a="1"/>
  <c r="I111" i="100" s="1"/>
  <c r="J111" i="100" a="1"/>
  <c r="J111" i="100" s="1"/>
  <c r="K111" i="100" a="1"/>
  <c r="K111" i="100" s="1"/>
  <c r="L111" i="100" a="1"/>
  <c r="L111" i="100" s="1"/>
  <c r="M111" i="100" a="1"/>
  <c r="M111" i="100" s="1"/>
  <c r="N111" i="100" a="1"/>
  <c r="N111" i="100" s="1"/>
  <c r="O111" i="100" a="1"/>
  <c r="O111" i="100" s="1"/>
  <c r="P111" i="100" a="1"/>
  <c r="P111" i="100" s="1"/>
  <c r="Q111" i="100" a="1"/>
  <c r="Q111" i="100" s="1"/>
  <c r="R111" i="100" a="1"/>
  <c r="R111" i="100" s="1"/>
  <c r="S111" i="100" a="1"/>
  <c r="S111" i="100" s="1"/>
  <c r="D111" i="100" a="1"/>
  <c r="D111" i="100" s="1"/>
  <c r="E111" i="100" a="1"/>
  <c r="E111" i="100" s="1"/>
  <c r="F111" i="100" a="1"/>
  <c r="F111" i="100" s="1"/>
  <c r="G111" i="100" a="1"/>
  <c r="G111" i="100" s="1"/>
  <c r="H111" i="100" a="1"/>
  <c r="H111" i="100" s="1"/>
  <c r="H110" i="100" a="1"/>
  <c r="H110" i="100" s="1"/>
  <c r="H109" i="100" a="1"/>
  <c r="H109" i="100" s="1"/>
  <c r="H107" i="100" a="1"/>
  <c r="H107" i="100" s="1"/>
  <c r="T111" i="100" a="1"/>
  <c r="T111" i="100" s="1"/>
  <c r="D112" i="100" a="1"/>
  <c r="D112" i="100" s="1"/>
  <c r="T106" i="100" a="1"/>
  <c r="T106" i="100" s="1"/>
  <c r="E106" i="100" a="1"/>
  <c r="E106" i="100" s="1"/>
  <c r="F106" i="100" a="1"/>
  <c r="F106" i="100" s="1"/>
  <c r="G106" i="100" a="1"/>
  <c r="G106" i="100" s="1"/>
  <c r="H106" i="100" a="1"/>
  <c r="H106" i="100" s="1"/>
  <c r="I106" i="100" a="1"/>
  <c r="I106" i="100" s="1"/>
  <c r="J106" i="100" a="1"/>
  <c r="J106" i="100" s="1"/>
  <c r="K106" i="100" a="1"/>
  <c r="K106" i="100" s="1"/>
  <c r="L106" i="100" a="1"/>
  <c r="L106" i="100" s="1"/>
  <c r="M106" i="100" a="1"/>
  <c r="M106" i="100" s="1"/>
  <c r="N106" i="100" a="1"/>
  <c r="N106" i="100" s="1"/>
  <c r="O106" i="100" a="1"/>
  <c r="O106" i="100" s="1"/>
  <c r="P106" i="100" a="1"/>
  <c r="P106" i="100" s="1"/>
  <c r="Q106" i="100" a="1"/>
  <c r="Q106" i="100" s="1"/>
  <c r="R106" i="100" a="1"/>
  <c r="R106" i="100" s="1"/>
  <c r="S106" i="100" a="1"/>
  <c r="S106" i="100" s="1"/>
  <c r="D106" i="100" a="1"/>
  <c r="D106" i="100" s="1"/>
  <c r="T101" i="100" a="1"/>
  <c r="T101" i="100" s="1"/>
  <c r="E101" i="100" a="1"/>
  <c r="E101" i="100" s="1"/>
  <c r="F101" i="100" a="1"/>
  <c r="F101" i="100" s="1"/>
  <c r="G101" i="100" a="1"/>
  <c r="G101" i="100" s="1"/>
  <c r="H101" i="100" a="1"/>
  <c r="H101" i="100" s="1"/>
  <c r="I101" i="100" a="1"/>
  <c r="I101" i="100" s="1"/>
  <c r="J101" i="100" a="1"/>
  <c r="J101" i="100" s="1"/>
  <c r="K101" i="100" a="1"/>
  <c r="K101" i="100" s="1"/>
  <c r="L101" i="100" a="1"/>
  <c r="L101" i="100" s="1"/>
  <c r="M101" i="100" a="1"/>
  <c r="M101" i="100" s="1"/>
  <c r="N101" i="100" a="1"/>
  <c r="N101" i="100" s="1"/>
  <c r="O101" i="100" a="1"/>
  <c r="O101" i="100" s="1"/>
  <c r="P101" i="100" a="1"/>
  <c r="P101" i="100" s="1"/>
  <c r="Q101" i="100" a="1"/>
  <c r="Q101" i="100" s="1"/>
  <c r="R101" i="100" a="1"/>
  <c r="R101" i="100" s="1"/>
  <c r="S101" i="100" a="1"/>
  <c r="S101" i="100" s="1"/>
  <c r="D101" i="100" a="1"/>
  <c r="D101" i="100" s="1"/>
  <c r="T96" i="100" a="1"/>
  <c r="T96" i="100" s="1"/>
  <c r="E96" i="100" a="1"/>
  <c r="E96" i="100" s="1"/>
  <c r="F96" i="100" a="1"/>
  <c r="F96" i="100" s="1"/>
  <c r="G96" i="100" a="1"/>
  <c r="G96" i="100" s="1"/>
  <c r="H96" i="100" a="1"/>
  <c r="H96" i="100" s="1"/>
  <c r="I96" i="100" a="1"/>
  <c r="I96" i="100" s="1"/>
  <c r="J96" i="100" a="1"/>
  <c r="J96" i="100" s="1"/>
  <c r="K96" i="100" a="1"/>
  <c r="K96" i="100" s="1"/>
  <c r="L96" i="100" a="1"/>
  <c r="L96" i="100" s="1"/>
  <c r="M96" i="100" a="1"/>
  <c r="M96" i="100" s="1"/>
  <c r="N96" i="100" a="1"/>
  <c r="N96" i="100" s="1"/>
  <c r="O96" i="100" a="1"/>
  <c r="O96" i="100" s="1"/>
  <c r="P96" i="100" a="1"/>
  <c r="P96" i="100" s="1"/>
  <c r="Q96" i="100" a="1"/>
  <c r="Q96" i="100" s="1"/>
  <c r="R96" i="100" a="1"/>
  <c r="R96" i="100" s="1"/>
  <c r="S96" i="100" a="1"/>
  <c r="S96" i="100" s="1"/>
  <c r="D96" i="100" a="1"/>
  <c r="D96" i="100" s="1"/>
  <c r="T91" i="100" a="1"/>
  <c r="T91" i="100" s="1"/>
  <c r="E91" i="100" a="1"/>
  <c r="E91" i="100" s="1"/>
  <c r="F91" i="100" a="1"/>
  <c r="F91" i="100" s="1"/>
  <c r="G91" i="100" a="1"/>
  <c r="G91" i="100" s="1"/>
  <c r="H91" i="100" a="1"/>
  <c r="H91" i="100" s="1"/>
  <c r="I91" i="100" a="1"/>
  <c r="I91" i="100" s="1"/>
  <c r="J91" i="100" a="1"/>
  <c r="J91" i="100" s="1"/>
  <c r="K91" i="100" a="1"/>
  <c r="K91" i="100" s="1"/>
  <c r="L91" i="100" a="1"/>
  <c r="L91" i="100" s="1"/>
  <c r="M91" i="100" a="1"/>
  <c r="M91" i="100" s="1"/>
  <c r="N91" i="100" a="1"/>
  <c r="N91" i="100" s="1"/>
  <c r="O91" i="100" a="1"/>
  <c r="O91" i="100" s="1"/>
  <c r="P91" i="100" a="1"/>
  <c r="P91" i="100" s="1"/>
  <c r="Q91" i="100" a="1"/>
  <c r="Q91" i="100" s="1"/>
  <c r="R91" i="100" a="1"/>
  <c r="R91" i="100" s="1"/>
  <c r="S91" i="100" a="1"/>
  <c r="S91" i="100" s="1"/>
  <c r="D91" i="100" a="1"/>
  <c r="D91" i="100" s="1"/>
  <c r="T86" i="100" a="1"/>
  <c r="T86" i="100" s="1"/>
  <c r="E86" i="100" a="1"/>
  <c r="E86" i="100" s="1"/>
  <c r="F86" i="100" a="1"/>
  <c r="F86" i="100" s="1"/>
  <c r="G86" i="100" a="1"/>
  <c r="G86" i="100" s="1"/>
  <c r="H86" i="100" a="1"/>
  <c r="H86" i="100" s="1"/>
  <c r="I86" i="100" a="1"/>
  <c r="I86" i="100" s="1"/>
  <c r="J86" i="100" a="1"/>
  <c r="J86" i="100" s="1"/>
  <c r="K86" i="100" a="1"/>
  <c r="K86" i="100" s="1"/>
  <c r="L86" i="100" a="1"/>
  <c r="L86" i="100" s="1"/>
  <c r="M86" i="100" a="1"/>
  <c r="M86" i="100" s="1"/>
  <c r="N86" i="100" a="1"/>
  <c r="N86" i="100" s="1"/>
  <c r="O86" i="100" a="1"/>
  <c r="O86" i="100" s="1"/>
  <c r="P86" i="100" a="1"/>
  <c r="P86" i="100" s="1"/>
  <c r="Q86" i="100" a="1"/>
  <c r="Q86" i="100" s="1"/>
  <c r="R86" i="100" a="1"/>
  <c r="R86" i="100" s="1"/>
  <c r="S86" i="100" a="1"/>
  <c r="S86" i="100" s="1"/>
  <c r="D86" i="100" a="1"/>
  <c r="D86" i="100" s="1"/>
  <c r="T81" i="100" a="1"/>
  <c r="T81" i="100" s="1"/>
  <c r="F81" i="100" a="1"/>
  <c r="F81" i="100" s="1"/>
  <c r="G81" i="100" a="1"/>
  <c r="G81" i="100" s="1"/>
  <c r="H81" i="100" a="1"/>
  <c r="H81" i="100" s="1"/>
  <c r="I81" i="100" a="1"/>
  <c r="I81" i="100" s="1"/>
  <c r="J81" i="100" a="1"/>
  <c r="J81" i="100" s="1"/>
  <c r="K81" i="100" a="1"/>
  <c r="K81" i="100" s="1"/>
  <c r="L81" i="100" a="1"/>
  <c r="L81" i="100" s="1"/>
  <c r="M81" i="100" a="1"/>
  <c r="M81" i="100" s="1"/>
  <c r="N81" i="100" a="1"/>
  <c r="N81" i="100" s="1"/>
  <c r="O81" i="100" a="1"/>
  <c r="O81" i="100" s="1"/>
  <c r="P81" i="100" a="1"/>
  <c r="P81" i="100" s="1"/>
  <c r="Q81" i="100" a="1"/>
  <c r="Q81" i="100" s="1"/>
  <c r="R81" i="100" a="1"/>
  <c r="R81" i="100" s="1"/>
  <c r="S81" i="100" a="1"/>
  <c r="S81" i="100" s="1"/>
  <c r="E81" i="100" a="1"/>
  <c r="E81" i="100" s="1"/>
  <c r="D81" i="100" a="1"/>
  <c r="D81" i="100" s="1"/>
  <c r="D80" i="100" a="1"/>
  <c r="D80" i="100" s="1"/>
  <c r="T71" i="100"/>
  <c r="E71" i="100"/>
  <c r="F71" i="100"/>
  <c r="G71" i="100"/>
  <c r="H71" i="100"/>
  <c r="I71" i="100"/>
  <c r="J71" i="100"/>
  <c r="K71" i="100"/>
  <c r="L71" i="100"/>
  <c r="M71" i="100"/>
  <c r="N71" i="100"/>
  <c r="O71" i="100"/>
  <c r="P71" i="100"/>
  <c r="Q71" i="100"/>
  <c r="R71" i="100"/>
  <c r="S71" i="100"/>
  <c r="D71" i="100"/>
  <c r="T66" i="100"/>
  <c r="E66" i="100"/>
  <c r="F66" i="100"/>
  <c r="G66" i="100"/>
  <c r="H66" i="100"/>
  <c r="I66" i="100"/>
  <c r="J66" i="100"/>
  <c r="K66" i="100"/>
  <c r="L66" i="100"/>
  <c r="M66" i="100"/>
  <c r="N66" i="100"/>
  <c r="O66" i="100"/>
  <c r="P66" i="100"/>
  <c r="Q66" i="100"/>
  <c r="R66" i="100"/>
  <c r="S66" i="100"/>
  <c r="D66" i="100"/>
  <c r="T61" i="100"/>
  <c r="E61" i="100"/>
  <c r="F61" i="100"/>
  <c r="G61" i="100"/>
  <c r="H61" i="100"/>
  <c r="I61" i="100"/>
  <c r="J61" i="100"/>
  <c r="K61" i="100"/>
  <c r="L61" i="100"/>
  <c r="M61" i="100"/>
  <c r="N61" i="100"/>
  <c r="O61" i="100"/>
  <c r="P61" i="100"/>
  <c r="Q61" i="100"/>
  <c r="R61" i="100"/>
  <c r="S61" i="100"/>
  <c r="D61" i="100"/>
  <c r="T56" i="100"/>
  <c r="E56" i="100"/>
  <c r="F56" i="100"/>
  <c r="G56" i="100"/>
  <c r="H56" i="100"/>
  <c r="I56" i="100"/>
  <c r="J56" i="100"/>
  <c r="K56" i="100"/>
  <c r="L56" i="100"/>
  <c r="M56" i="100"/>
  <c r="N56" i="100"/>
  <c r="O56" i="100"/>
  <c r="P56" i="100"/>
  <c r="Q56" i="100"/>
  <c r="R56" i="100"/>
  <c r="S56" i="100"/>
  <c r="D56" i="100"/>
  <c r="T51" i="100"/>
  <c r="E51" i="100"/>
  <c r="F51" i="100"/>
  <c r="G51" i="100"/>
  <c r="H51" i="100"/>
  <c r="I51" i="100"/>
  <c r="J51" i="100"/>
  <c r="K51" i="100"/>
  <c r="L51" i="100"/>
  <c r="M51" i="100"/>
  <c r="N51" i="100"/>
  <c r="O51" i="100"/>
  <c r="P51" i="100"/>
  <c r="Q51" i="100"/>
  <c r="R51" i="100"/>
  <c r="S51" i="100"/>
  <c r="D51" i="100"/>
  <c r="E41" i="100"/>
  <c r="F41" i="100"/>
  <c r="G41" i="100"/>
  <c r="H41" i="100"/>
  <c r="I41" i="100"/>
  <c r="J41" i="100"/>
  <c r="K41" i="100"/>
  <c r="L41" i="100"/>
  <c r="M41" i="100"/>
  <c r="N41" i="100"/>
  <c r="O41" i="100"/>
  <c r="P41" i="100"/>
  <c r="Q41" i="100"/>
  <c r="R41" i="100"/>
  <c r="S41" i="100"/>
  <c r="D41" i="100"/>
  <c r="T46" i="100"/>
  <c r="E46" i="100"/>
  <c r="F46" i="100"/>
  <c r="G46" i="100"/>
  <c r="H46" i="100"/>
  <c r="I46" i="100"/>
  <c r="J46" i="100"/>
  <c r="K46" i="100"/>
  <c r="L46" i="100"/>
  <c r="M46" i="100"/>
  <c r="N46" i="100"/>
  <c r="O46" i="100"/>
  <c r="P46" i="100"/>
  <c r="Q46" i="100"/>
  <c r="R46" i="100"/>
  <c r="S46" i="100"/>
  <c r="D46" i="100"/>
  <c r="T41" i="100"/>
  <c r="T36" i="100"/>
  <c r="E36" i="100"/>
  <c r="F36" i="100"/>
  <c r="G36" i="100"/>
  <c r="H36" i="100"/>
  <c r="I36" i="100"/>
  <c r="J36" i="100"/>
  <c r="K36" i="100"/>
  <c r="L36" i="100"/>
  <c r="M36" i="100"/>
  <c r="N36" i="100"/>
  <c r="O36" i="100"/>
  <c r="P36" i="100"/>
  <c r="Q36" i="100"/>
  <c r="R36" i="100"/>
  <c r="S36" i="100"/>
  <c r="D36" i="100"/>
  <c r="T31" i="100"/>
  <c r="E31" i="100"/>
  <c r="F31" i="100"/>
  <c r="G31" i="100"/>
  <c r="H31" i="100"/>
  <c r="I31" i="100"/>
  <c r="J31" i="100"/>
  <c r="K31" i="100"/>
  <c r="L31" i="100"/>
  <c r="M31" i="100"/>
  <c r="N31" i="100"/>
  <c r="O31" i="100"/>
  <c r="P31" i="100"/>
  <c r="Q31" i="100"/>
  <c r="R31" i="100"/>
  <c r="S31" i="100"/>
  <c r="D31" i="100"/>
  <c r="T26" i="100"/>
  <c r="E26" i="100"/>
  <c r="F26" i="100"/>
  <c r="G26" i="100"/>
  <c r="H26" i="100"/>
  <c r="I26" i="100"/>
  <c r="J26" i="100"/>
  <c r="K26" i="100"/>
  <c r="L26" i="100"/>
  <c r="M26" i="100"/>
  <c r="N26" i="100"/>
  <c r="O26" i="100"/>
  <c r="P26" i="100"/>
  <c r="Q26" i="100"/>
  <c r="R26" i="100"/>
  <c r="S26" i="100"/>
  <c r="D26" i="100"/>
  <c r="T21" i="100"/>
  <c r="E21" i="100"/>
  <c r="F21" i="100"/>
  <c r="G21" i="100"/>
  <c r="H21" i="100"/>
  <c r="I21" i="100"/>
  <c r="J21" i="100"/>
  <c r="K21" i="100"/>
  <c r="L21" i="100"/>
  <c r="M21" i="100"/>
  <c r="N21" i="100"/>
  <c r="O21" i="100"/>
  <c r="P21" i="100"/>
  <c r="Q21" i="100"/>
  <c r="R21" i="100"/>
  <c r="S21" i="100"/>
  <c r="D21" i="100"/>
  <c r="T16" i="100"/>
  <c r="G16" i="100"/>
  <c r="H16" i="100"/>
  <c r="I16" i="100"/>
  <c r="J16" i="100"/>
  <c r="K16" i="100"/>
  <c r="L16" i="100"/>
  <c r="M16" i="100"/>
  <c r="N16" i="100"/>
  <c r="O16" i="100"/>
  <c r="P16" i="100"/>
  <c r="Q16" i="100"/>
  <c r="R16" i="100"/>
  <c r="S16" i="100"/>
  <c r="F16" i="100"/>
  <c r="E16" i="100"/>
  <c r="F13" i="100"/>
  <c r="F15" i="100"/>
  <c r="D16" i="100"/>
  <c r="T11" i="100"/>
  <c r="S11" i="100"/>
  <c r="R11" i="100"/>
  <c r="Q11" i="100"/>
  <c r="P11" i="100"/>
  <c r="O11" i="100"/>
  <c r="N11" i="100"/>
  <c r="M11" i="100"/>
  <c r="L11" i="100"/>
  <c r="K11" i="100"/>
  <c r="J11" i="100"/>
  <c r="I11" i="100"/>
  <c r="H11" i="100"/>
  <c r="G11" i="100"/>
  <c r="F11" i="100"/>
  <c r="E11" i="100"/>
  <c r="D11" i="100"/>
  <c r="S75" i="117"/>
  <c r="R75" i="117"/>
  <c r="Q75" i="117"/>
  <c r="P75" i="117"/>
  <c r="O75" i="117"/>
  <c r="N75" i="117"/>
  <c r="M75" i="117"/>
  <c r="L75" i="117"/>
  <c r="K75" i="117"/>
  <c r="J75" i="117"/>
  <c r="I75" i="117"/>
  <c r="H75" i="117"/>
  <c r="G75" i="117"/>
  <c r="F75" i="117"/>
  <c r="E75" i="117"/>
  <c r="D75" i="117"/>
  <c r="C75" i="117"/>
  <c r="S67" i="117"/>
  <c r="R67" i="117"/>
  <c r="Q67" i="117"/>
  <c r="P67" i="117"/>
  <c r="O67" i="117"/>
  <c r="N67" i="117"/>
  <c r="M67" i="117"/>
  <c r="L67" i="117"/>
  <c r="K67" i="117"/>
  <c r="J67" i="117"/>
  <c r="I67" i="117"/>
  <c r="H67" i="117"/>
  <c r="G67" i="117"/>
  <c r="F67" i="117"/>
  <c r="E67" i="117"/>
  <c r="D67" i="117"/>
  <c r="C67" i="117"/>
  <c r="S59" i="117"/>
  <c r="R59" i="117"/>
  <c r="Q59" i="117"/>
  <c r="P59" i="117"/>
  <c r="O59" i="117"/>
  <c r="N59" i="117"/>
  <c r="M59" i="117"/>
  <c r="L59" i="117"/>
  <c r="K59" i="117"/>
  <c r="J59" i="117"/>
  <c r="I59" i="117"/>
  <c r="H59" i="117"/>
  <c r="G59" i="117"/>
  <c r="F59" i="117"/>
  <c r="E59" i="117"/>
  <c r="D59" i="117"/>
  <c r="C59" i="117"/>
  <c r="S51" i="117"/>
  <c r="R51" i="117"/>
  <c r="Q51" i="117"/>
  <c r="P51" i="117"/>
  <c r="O51" i="117"/>
  <c r="N51" i="117"/>
  <c r="M51" i="117"/>
  <c r="L51" i="117"/>
  <c r="K51" i="117"/>
  <c r="J51" i="117"/>
  <c r="I51" i="117"/>
  <c r="H51" i="117"/>
  <c r="G51" i="117"/>
  <c r="F51" i="117"/>
  <c r="E51" i="117"/>
  <c r="D51" i="117"/>
  <c r="C51" i="117"/>
  <c r="S43" i="117"/>
  <c r="R43" i="117"/>
  <c r="Q43" i="117"/>
  <c r="P43" i="117"/>
  <c r="O43" i="117"/>
  <c r="N43" i="117"/>
  <c r="M43" i="117"/>
  <c r="L43" i="117"/>
  <c r="K43" i="117"/>
  <c r="J43" i="117"/>
  <c r="I43" i="117"/>
  <c r="H43" i="117"/>
  <c r="G43" i="117"/>
  <c r="F43" i="117"/>
  <c r="E43" i="117"/>
  <c r="D43" i="117"/>
  <c r="C43" i="117"/>
  <c r="S73" i="115"/>
  <c r="R73" i="115"/>
  <c r="Q73" i="115"/>
  <c r="P73" i="115"/>
  <c r="O73" i="115"/>
  <c r="N73" i="115"/>
  <c r="M73" i="115"/>
  <c r="L73" i="115"/>
  <c r="K73" i="115"/>
  <c r="J73" i="115"/>
  <c r="I73" i="115"/>
  <c r="H73" i="115"/>
  <c r="G73" i="115"/>
  <c r="F73" i="115"/>
  <c r="E73" i="115"/>
  <c r="D73" i="115"/>
  <c r="C73" i="115"/>
  <c r="S64" i="115"/>
  <c r="R64" i="115"/>
  <c r="Q64" i="115"/>
  <c r="P64" i="115"/>
  <c r="O64" i="115"/>
  <c r="N64" i="115"/>
  <c r="M64" i="115"/>
  <c r="L64" i="115"/>
  <c r="K64" i="115"/>
  <c r="J64" i="115"/>
  <c r="I64" i="115"/>
  <c r="H64" i="115"/>
  <c r="G64" i="115"/>
  <c r="F64" i="115"/>
  <c r="E64" i="115"/>
  <c r="D64" i="115"/>
  <c r="C64" i="115"/>
  <c r="S56" i="115"/>
  <c r="R56" i="115"/>
  <c r="Q56" i="115"/>
  <c r="P56" i="115"/>
  <c r="O56" i="115"/>
  <c r="N56" i="115"/>
  <c r="M56" i="115"/>
  <c r="L56" i="115"/>
  <c r="K56" i="115"/>
  <c r="J56" i="115"/>
  <c r="I56" i="115"/>
  <c r="H56" i="115"/>
  <c r="G56" i="115"/>
  <c r="F56" i="115"/>
  <c r="E56" i="115"/>
  <c r="D56" i="115"/>
  <c r="C56" i="115"/>
  <c r="S48" i="115"/>
  <c r="R48" i="115"/>
  <c r="Q48" i="115"/>
  <c r="P48" i="115"/>
  <c r="O48" i="115"/>
  <c r="N48" i="115"/>
  <c r="M48" i="115"/>
  <c r="L48" i="115"/>
  <c r="K48" i="115"/>
  <c r="J48" i="115"/>
  <c r="I48" i="115"/>
  <c r="H48" i="115"/>
  <c r="G48" i="115"/>
  <c r="F48" i="115"/>
  <c r="E48" i="115"/>
  <c r="D48" i="115"/>
  <c r="C48" i="115"/>
  <c r="S40" i="115"/>
  <c r="R40" i="115"/>
  <c r="Q40" i="115"/>
  <c r="P40" i="115"/>
  <c r="O40" i="115"/>
  <c r="N40" i="115"/>
  <c r="M40" i="115"/>
  <c r="L40" i="115"/>
  <c r="K40" i="115"/>
  <c r="J40" i="115"/>
  <c r="I40" i="115"/>
  <c r="H40" i="115"/>
  <c r="G40" i="115"/>
  <c r="F40" i="115"/>
  <c r="E40" i="115"/>
  <c r="D40" i="115"/>
  <c r="C40" i="115"/>
  <c r="B14" i="98"/>
  <c r="B9" i="98"/>
  <c r="T67" i="117" l="1"/>
  <c r="T59" i="117"/>
  <c r="T51" i="117"/>
  <c r="T43" i="117"/>
  <c r="L18" i="117" s="1"/>
  <c r="T64" i="115"/>
  <c r="T56" i="115"/>
  <c r="T48" i="115"/>
  <c r="T40" i="115"/>
  <c r="L17" i="115" s="1"/>
  <c r="C12" i="89"/>
  <c r="D36" i="98"/>
  <c r="D35" i="98"/>
  <c r="D35" i="114" l="1"/>
  <c r="D36" i="114"/>
  <c r="D37" i="114"/>
  <c r="D38" i="114"/>
  <c r="D39" i="114"/>
  <c r="D40" i="114"/>
  <c r="D41" i="114"/>
  <c r="D42" i="114"/>
  <c r="D43" i="114"/>
  <c r="D44" i="114"/>
  <c r="D45" i="114"/>
  <c r="D46" i="114"/>
  <c r="D47" i="114"/>
  <c r="D48" i="114"/>
  <c r="D49" i="114"/>
  <c r="D50" i="114"/>
  <c r="D51" i="114"/>
  <c r="D52" i="114"/>
  <c r="D53" i="114"/>
  <c r="D54" i="114"/>
  <c r="D55" i="114"/>
  <c r="D56" i="114"/>
  <c r="D57" i="114"/>
  <c r="D58" i="114"/>
  <c r="D59" i="114"/>
  <c r="D60" i="114"/>
  <c r="D61" i="114"/>
  <c r="D62" i="114"/>
  <c r="D63" i="114"/>
  <c r="D64" i="114"/>
  <c r="D65" i="114"/>
  <c r="D66" i="114"/>
  <c r="D67" i="114"/>
  <c r="D68" i="114"/>
  <c r="D69" i="114"/>
  <c r="D70" i="114"/>
  <c r="D71" i="114"/>
  <c r="D72" i="114"/>
  <c r="D73" i="114"/>
  <c r="D74" i="114"/>
  <c r="D75" i="114"/>
  <c r="D76" i="114"/>
  <c r="D77" i="114"/>
  <c r="D78" i="114"/>
  <c r="D79" i="114"/>
  <c r="D80" i="114"/>
  <c r="D81" i="114"/>
  <c r="D82" i="114"/>
  <c r="D83" i="114"/>
  <c r="D84" i="114"/>
  <c r="D85" i="114"/>
  <c r="D86" i="114"/>
  <c r="D87" i="114"/>
  <c r="D88" i="114"/>
  <c r="C35" i="114"/>
  <c r="C36" i="114"/>
  <c r="C3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1" i="114"/>
  <c r="C72" i="114"/>
  <c r="C73" i="114"/>
  <c r="C74" i="114"/>
  <c r="C75" i="114"/>
  <c r="C76" i="114"/>
  <c r="C77" i="114"/>
  <c r="C78" i="114"/>
  <c r="C79" i="114"/>
  <c r="C80" i="114"/>
  <c r="C81" i="114"/>
  <c r="C82" i="114"/>
  <c r="C83" i="114"/>
  <c r="C84" i="114"/>
  <c r="C85" i="114"/>
  <c r="C86" i="114"/>
  <c r="C87" i="114"/>
  <c r="C88" i="114"/>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D83" i="98"/>
  <c r="D84" i="98"/>
  <c r="D85" i="98"/>
  <c r="D86" i="98"/>
  <c r="D87" i="98"/>
  <c r="D88" i="98"/>
  <c r="C35" i="98"/>
  <c r="C36" i="98"/>
  <c r="C37" i="98"/>
  <c r="C38" i="98"/>
  <c r="C39" i="98"/>
  <c r="C40" i="98"/>
  <c r="C41" i="98"/>
  <c r="C42" i="98"/>
  <c r="C43" i="98"/>
  <c r="C44" i="98"/>
  <c r="C45" i="98"/>
  <c r="C46" i="98"/>
  <c r="C47" i="98"/>
  <c r="C48" i="98"/>
  <c r="C49" i="98"/>
  <c r="C50" i="98"/>
  <c r="C51" i="98"/>
  <c r="C52" i="98"/>
  <c r="C53" i="98"/>
  <c r="C54" i="98"/>
  <c r="C55" i="98"/>
  <c r="C56" i="98"/>
  <c r="C57" i="98"/>
  <c r="C58" i="98"/>
  <c r="C59" i="98"/>
  <c r="C60" i="98"/>
  <c r="C61" i="98"/>
  <c r="C62" i="98"/>
  <c r="C63" i="98"/>
  <c r="C64" i="98"/>
  <c r="C65" i="98"/>
  <c r="C66" i="98"/>
  <c r="C67" i="98"/>
  <c r="C68" i="98"/>
  <c r="C69" i="98"/>
  <c r="C70" i="98"/>
  <c r="C71" i="98"/>
  <c r="C72" i="98"/>
  <c r="C73" i="98"/>
  <c r="C74" i="98"/>
  <c r="C75" i="98"/>
  <c r="C76" i="98"/>
  <c r="C77" i="98"/>
  <c r="C78" i="98"/>
  <c r="C79" i="98"/>
  <c r="C80" i="98"/>
  <c r="C81" i="98"/>
  <c r="C82" i="98"/>
  <c r="C83" i="98"/>
  <c r="C84" i="98"/>
  <c r="C85" i="98"/>
  <c r="C86" i="98"/>
  <c r="C87" i="98"/>
  <c r="C88" i="98"/>
  <c r="C61" i="101"/>
  <c r="C62" i="101"/>
  <c r="C63" i="101"/>
  <c r="C64" i="101"/>
  <c r="C65" i="101"/>
  <c r="C66" i="101"/>
  <c r="C67" i="101"/>
  <c r="C68" i="101"/>
  <c r="C69" i="101"/>
  <c r="C70" i="101"/>
  <c r="C71" i="101"/>
  <c r="C72" i="101"/>
  <c r="C73" i="101"/>
  <c r="C74" i="101"/>
  <c r="C75" i="101"/>
  <c r="C76" i="101"/>
  <c r="C77" i="101"/>
  <c r="C78" i="101"/>
  <c r="C79" i="101"/>
  <c r="C80" i="101"/>
  <c r="C81" i="101"/>
  <c r="C82" i="101"/>
  <c r="C83" i="101"/>
  <c r="C84" i="101"/>
  <c r="C85" i="101"/>
  <c r="C86" i="101"/>
  <c r="C87" i="101"/>
  <c r="C88"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35" i="101"/>
  <c r="D36" i="101"/>
  <c r="D37" i="101"/>
  <c r="D38" i="101"/>
  <c r="D39" i="101"/>
  <c r="D40" i="101"/>
  <c r="D41" i="101"/>
  <c r="D42" i="101"/>
  <c r="D43" i="101"/>
  <c r="D44" i="101"/>
  <c r="D45" i="101"/>
  <c r="D46" i="101"/>
  <c r="D47" i="101"/>
  <c r="D48" i="101"/>
  <c r="D49" i="101"/>
  <c r="D50" i="101"/>
  <c r="D51" i="101"/>
  <c r="D52" i="101"/>
  <c r="D53" i="101"/>
  <c r="D54" i="101"/>
  <c r="D55" i="101"/>
  <c r="D34" i="101"/>
  <c r="C35" i="101"/>
  <c r="C36" i="101"/>
  <c r="C37" i="101"/>
  <c r="C38" i="101"/>
  <c r="C39" i="101"/>
  <c r="C40" i="101"/>
  <c r="C41" i="101"/>
  <c r="C42" i="101"/>
  <c r="C43" i="101"/>
  <c r="C44" i="101"/>
  <c r="C45" i="101"/>
  <c r="C46" i="101"/>
  <c r="C47" i="101"/>
  <c r="C48" i="101"/>
  <c r="C49" i="101"/>
  <c r="C50" i="101"/>
  <c r="C51" i="101"/>
  <c r="C52" i="101"/>
  <c r="C53" i="101"/>
  <c r="C54" i="101"/>
  <c r="C55" i="101"/>
  <c r="C56" i="101"/>
  <c r="C57" i="101"/>
  <c r="C58" i="101"/>
  <c r="C59" i="101"/>
  <c r="C60" i="101"/>
  <c r="C34" i="101"/>
  <c r="H8" i="106"/>
  <c r="H9" i="106"/>
  <c r="H10" i="106"/>
  <c r="H11" i="106"/>
  <c r="H12" i="106"/>
  <c r="H13" i="106"/>
  <c r="H14" i="106"/>
  <c r="H15" i="106"/>
  <c r="H16" i="106"/>
  <c r="H17" i="106"/>
  <c r="H18" i="106"/>
  <c r="H19" i="106"/>
  <c r="H20" i="106"/>
  <c r="H21" i="106"/>
  <c r="H22" i="106"/>
  <c r="H23" i="106"/>
  <c r="H24" i="106"/>
  <c r="H25" i="106"/>
  <c r="H26" i="106"/>
  <c r="H27" i="106"/>
  <c r="H28" i="106"/>
  <c r="H29" i="106"/>
  <c r="H30" i="106"/>
  <c r="H31" i="106"/>
  <c r="H32" i="106"/>
  <c r="H33" i="106"/>
  <c r="H34" i="106"/>
  <c r="H35" i="106"/>
  <c r="H36" i="106"/>
  <c r="H37" i="106"/>
  <c r="H38" i="106"/>
  <c r="H39" i="106"/>
  <c r="H40" i="106"/>
  <c r="H41" i="106"/>
  <c r="H42" i="106"/>
  <c r="H43" i="106"/>
  <c r="H44" i="106"/>
  <c r="H45" i="106"/>
  <c r="H46" i="106"/>
  <c r="H47" i="106"/>
  <c r="H48" i="106"/>
  <c r="H49" i="106"/>
  <c r="H50" i="106"/>
  <c r="H51" i="106"/>
  <c r="H52" i="106"/>
  <c r="H53" i="106"/>
  <c r="H54" i="106"/>
  <c r="H55" i="106"/>
  <c r="H56" i="106"/>
  <c r="H57" i="106"/>
  <c r="H58" i="106"/>
  <c r="H59" i="106"/>
  <c r="H60" i="106"/>
  <c r="H7" i="106"/>
  <c r="H6" i="106"/>
  <c r="B18" i="89" l="1"/>
  <c r="C18" i="89"/>
  <c r="C34" i="87"/>
  <c r="D34" i="87"/>
  <c r="E34" i="87"/>
  <c r="F34" i="87"/>
  <c r="G34" i="87"/>
  <c r="H34" i="87"/>
  <c r="I34" i="87"/>
  <c r="J34" i="87"/>
  <c r="K34" i="87"/>
  <c r="L34" i="87"/>
  <c r="M34" i="87"/>
  <c r="N34" i="87"/>
  <c r="O34" i="87"/>
  <c r="D42" i="98"/>
  <c r="D14" i="106"/>
  <c r="E14" i="106" s="1"/>
  <c r="C136" i="87"/>
  <c r="B59" i="89"/>
  <c r="C59" i="89"/>
  <c r="B60" i="89"/>
  <c r="C60" i="89"/>
  <c r="B61" i="89"/>
  <c r="C61" i="89"/>
  <c r="C130" i="87"/>
  <c r="D130" i="87"/>
  <c r="E130" i="87"/>
  <c r="F130" i="87"/>
  <c r="G130" i="87"/>
  <c r="H130" i="87"/>
  <c r="I130" i="87"/>
  <c r="J130" i="87"/>
  <c r="K130" i="87"/>
  <c r="L130" i="87"/>
  <c r="M130" i="87"/>
  <c r="N130" i="87"/>
  <c r="O130" i="87"/>
  <c r="C131" i="87"/>
  <c r="D131" i="87"/>
  <c r="E131" i="87"/>
  <c r="F131" i="87"/>
  <c r="G131" i="87"/>
  <c r="H131" i="87"/>
  <c r="I131" i="87"/>
  <c r="J131" i="87"/>
  <c r="K131" i="87"/>
  <c r="L131" i="87"/>
  <c r="M131" i="87"/>
  <c r="N131" i="87"/>
  <c r="O131" i="87"/>
  <c r="C76" i="87"/>
  <c r="D76" i="87"/>
  <c r="E76" i="87"/>
  <c r="F76" i="87"/>
  <c r="G76" i="87"/>
  <c r="H76" i="87"/>
  <c r="I76" i="87"/>
  <c r="J76" i="87"/>
  <c r="K76" i="87"/>
  <c r="L76" i="87"/>
  <c r="M76" i="87"/>
  <c r="N76" i="87"/>
  <c r="O76" i="87"/>
  <c r="C77" i="87"/>
  <c r="D77" i="87"/>
  <c r="E77" i="87"/>
  <c r="F77" i="87"/>
  <c r="G77" i="87"/>
  <c r="H77" i="87"/>
  <c r="I77" i="87"/>
  <c r="J77" i="87"/>
  <c r="K77" i="87"/>
  <c r="L77" i="87"/>
  <c r="M77" i="87"/>
  <c r="N77" i="87"/>
  <c r="O77" i="87"/>
  <c r="C78" i="87"/>
  <c r="D78" i="87"/>
  <c r="E78" i="87"/>
  <c r="F78" i="87"/>
  <c r="G78" i="87"/>
  <c r="H78" i="87"/>
  <c r="I78" i="87"/>
  <c r="J78" i="87"/>
  <c r="K78" i="87"/>
  <c r="L78" i="87"/>
  <c r="M78" i="87"/>
  <c r="N78" i="87"/>
  <c r="O78" i="87"/>
  <c r="D36" i="106"/>
  <c r="E36" i="106" s="1"/>
  <c r="D37" i="106"/>
  <c r="E37" i="106" s="1"/>
  <c r="D38" i="106"/>
  <c r="E38" i="106" s="1"/>
  <c r="D39" i="106"/>
  <c r="E39" i="106" s="1"/>
  <c r="D40" i="106"/>
  <c r="E40" i="106" s="1"/>
  <c r="D41" i="106"/>
  <c r="E41" i="106" s="1"/>
  <c r="D42" i="106"/>
  <c r="E42" i="106" s="1"/>
  <c r="D43" i="106"/>
  <c r="E43" i="106" s="1"/>
  <c r="D44" i="106"/>
  <c r="E44" i="106" s="1"/>
  <c r="D45" i="106"/>
  <c r="E45" i="106" s="1"/>
  <c r="W5" i="117" l="1" a="1"/>
  <c r="W5" i="117" s="1"/>
  <c r="W4" i="115" a="1"/>
  <c r="W4" i="115" s="1"/>
  <c r="W5" i="115" a="1"/>
  <c r="W5" i="115" s="1"/>
  <c r="Z4" i="115" a="1"/>
  <c r="Z4" i="115" s="1"/>
  <c r="Z5" i="115" a="1"/>
  <c r="Z5" i="115" s="1"/>
  <c r="Z6" i="115" s="1"/>
  <c r="N10" i="115" l="1"/>
  <c r="N12" i="117" s="1"/>
  <c r="W6" i="115"/>
  <c r="N9" i="115" s="1"/>
  <c r="W6" i="117" a="1"/>
  <c r="W6" i="117" s="1"/>
  <c r="W7" i="117" s="1"/>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F17" i="115"/>
  <c r="E17" i="115"/>
  <c r="D17" i="115"/>
  <c r="C17" i="115"/>
  <c r="F16" i="115"/>
  <c r="E16" i="115"/>
  <c r="D16" i="115"/>
  <c r="C16" i="115"/>
  <c r="B27" i="115"/>
  <c r="H16" i="115"/>
  <c r="H17" i="117"/>
  <c r="C87" i="87"/>
  <c r="D87" i="87"/>
  <c r="E87" i="87"/>
  <c r="F87" i="87"/>
  <c r="G87" i="87"/>
  <c r="H87" i="87"/>
  <c r="I87" i="87"/>
  <c r="J87" i="87"/>
  <c r="K87" i="87"/>
  <c r="L87" i="87"/>
  <c r="M87" i="87"/>
  <c r="N87" i="87"/>
  <c r="O87" i="87"/>
  <c r="C88" i="87"/>
  <c r="D88" i="87"/>
  <c r="E88" i="87"/>
  <c r="F88" i="87"/>
  <c r="G88" i="87"/>
  <c r="H88" i="87"/>
  <c r="I88" i="87"/>
  <c r="J88" i="87"/>
  <c r="K88" i="87"/>
  <c r="L88" i="87"/>
  <c r="M88" i="87"/>
  <c r="N88" i="87"/>
  <c r="O88" i="87"/>
  <c r="C89" i="87"/>
  <c r="D89" i="87"/>
  <c r="E89" i="87"/>
  <c r="F89" i="87"/>
  <c r="G89" i="87"/>
  <c r="H89" i="87"/>
  <c r="I89" i="87"/>
  <c r="J89" i="87"/>
  <c r="K89" i="87"/>
  <c r="L89" i="87"/>
  <c r="M89" i="87"/>
  <c r="N89" i="87"/>
  <c r="O89" i="87"/>
  <c r="C90" i="87"/>
  <c r="D90" i="87"/>
  <c r="E90" i="87"/>
  <c r="F90" i="87"/>
  <c r="G90" i="87"/>
  <c r="H90" i="87"/>
  <c r="I90" i="87"/>
  <c r="J90" i="87"/>
  <c r="K90" i="87"/>
  <c r="L90" i="87"/>
  <c r="M90" i="87"/>
  <c r="N90" i="87"/>
  <c r="O90" i="87"/>
  <c r="C91" i="87"/>
  <c r="D91" i="87"/>
  <c r="E91" i="87"/>
  <c r="F91" i="87"/>
  <c r="G91" i="87"/>
  <c r="H91" i="87"/>
  <c r="I91" i="87"/>
  <c r="J91" i="87"/>
  <c r="K91" i="87"/>
  <c r="L91" i="87"/>
  <c r="M91" i="87"/>
  <c r="N91" i="87"/>
  <c r="O91" i="87"/>
  <c r="C92" i="87"/>
  <c r="D92" i="87"/>
  <c r="E92" i="87"/>
  <c r="F92" i="87"/>
  <c r="G92" i="87"/>
  <c r="H92" i="87"/>
  <c r="I92" i="87"/>
  <c r="J92" i="87"/>
  <c r="K92" i="87"/>
  <c r="L92" i="87"/>
  <c r="M92" i="87"/>
  <c r="N92" i="87"/>
  <c r="O92" i="87"/>
  <c r="C93" i="87"/>
  <c r="D93" i="87"/>
  <c r="E93" i="87"/>
  <c r="F93" i="87"/>
  <c r="G93" i="87"/>
  <c r="H93" i="87"/>
  <c r="I93" i="87"/>
  <c r="J93" i="87"/>
  <c r="K93" i="87"/>
  <c r="L93" i="87"/>
  <c r="M93" i="87"/>
  <c r="N93" i="87"/>
  <c r="O93" i="87"/>
  <c r="C94" i="87"/>
  <c r="D94" i="87"/>
  <c r="E94" i="87"/>
  <c r="F94" i="87"/>
  <c r="G94" i="87"/>
  <c r="H94" i="87"/>
  <c r="I94" i="87"/>
  <c r="J94" i="87"/>
  <c r="K94" i="87"/>
  <c r="L94" i="87"/>
  <c r="M94" i="87"/>
  <c r="N94" i="87"/>
  <c r="O94" i="87"/>
  <c r="C95" i="87"/>
  <c r="D95" i="87"/>
  <c r="E95" i="87"/>
  <c r="F95" i="87"/>
  <c r="G95" i="87"/>
  <c r="H95" i="87"/>
  <c r="I95" i="87"/>
  <c r="J95" i="87"/>
  <c r="K95" i="87"/>
  <c r="L95" i="87"/>
  <c r="M95" i="87"/>
  <c r="N95" i="87"/>
  <c r="O95" i="87"/>
  <c r="C96" i="87"/>
  <c r="D96" i="87"/>
  <c r="E96" i="87"/>
  <c r="F96" i="87"/>
  <c r="G96" i="87"/>
  <c r="H96" i="87"/>
  <c r="I96" i="87"/>
  <c r="J96" i="87"/>
  <c r="K96" i="87"/>
  <c r="L96" i="87"/>
  <c r="M96" i="87"/>
  <c r="N96" i="87"/>
  <c r="O96" i="87"/>
  <c r="C97" i="87"/>
  <c r="D97" i="87"/>
  <c r="E97" i="87"/>
  <c r="F97" i="87"/>
  <c r="G97" i="87"/>
  <c r="H97" i="87"/>
  <c r="I97" i="87"/>
  <c r="J97" i="87"/>
  <c r="K97" i="87"/>
  <c r="L97" i="87"/>
  <c r="M97" i="87"/>
  <c r="N97" i="87"/>
  <c r="O97" i="87"/>
  <c r="C98" i="87"/>
  <c r="D98" i="87"/>
  <c r="E98" i="87"/>
  <c r="F98" i="87"/>
  <c r="G98" i="87"/>
  <c r="H98" i="87"/>
  <c r="I98" i="87"/>
  <c r="J98" i="87"/>
  <c r="K98" i="87"/>
  <c r="L98" i="87"/>
  <c r="M98" i="87"/>
  <c r="N98" i="87"/>
  <c r="O98" i="87"/>
  <c r="C99" i="87"/>
  <c r="D99" i="87"/>
  <c r="E99" i="87"/>
  <c r="F99" i="87"/>
  <c r="G99" i="87"/>
  <c r="H99" i="87"/>
  <c r="I99" i="87"/>
  <c r="J99" i="87"/>
  <c r="K99" i="87"/>
  <c r="L99" i="87"/>
  <c r="M99" i="87"/>
  <c r="N99" i="87"/>
  <c r="O99" i="87"/>
  <c r="C100" i="87"/>
  <c r="D100" i="87"/>
  <c r="E100" i="87"/>
  <c r="F100" i="87"/>
  <c r="G100" i="87"/>
  <c r="H100" i="87"/>
  <c r="I100" i="87"/>
  <c r="J100" i="87"/>
  <c r="K100" i="87"/>
  <c r="L100" i="87"/>
  <c r="M100" i="87"/>
  <c r="N100" i="87"/>
  <c r="O100" i="87"/>
  <c r="C101" i="87"/>
  <c r="D101" i="87"/>
  <c r="E101" i="87"/>
  <c r="F101" i="87"/>
  <c r="G101" i="87"/>
  <c r="H101" i="87"/>
  <c r="I101" i="87"/>
  <c r="J101" i="87"/>
  <c r="K101" i="87"/>
  <c r="L101" i="87"/>
  <c r="M101" i="87"/>
  <c r="N101" i="87"/>
  <c r="O101" i="87"/>
  <c r="C102" i="87"/>
  <c r="D102" i="87"/>
  <c r="E102" i="87"/>
  <c r="F102" i="87"/>
  <c r="G102" i="87"/>
  <c r="H102" i="87"/>
  <c r="I102" i="87"/>
  <c r="J102" i="87"/>
  <c r="K102" i="87"/>
  <c r="L102" i="87"/>
  <c r="M102" i="87"/>
  <c r="N102" i="87"/>
  <c r="O102" i="87"/>
  <c r="C103" i="87"/>
  <c r="D103" i="87"/>
  <c r="E103" i="87"/>
  <c r="F103" i="87"/>
  <c r="G103" i="87"/>
  <c r="H103" i="87"/>
  <c r="I103" i="87"/>
  <c r="J103" i="87"/>
  <c r="K103" i="87"/>
  <c r="L103" i="87"/>
  <c r="M103" i="87"/>
  <c r="N103" i="87"/>
  <c r="O103" i="87"/>
  <c r="C104" i="87"/>
  <c r="D104" i="87"/>
  <c r="E104" i="87"/>
  <c r="F104" i="87"/>
  <c r="G104" i="87"/>
  <c r="H104" i="87"/>
  <c r="I104" i="87"/>
  <c r="J104" i="87"/>
  <c r="K104" i="87"/>
  <c r="L104" i="87"/>
  <c r="M104" i="87"/>
  <c r="N104" i="87"/>
  <c r="O104" i="87"/>
  <c r="C105" i="87"/>
  <c r="D105" i="87"/>
  <c r="E105" i="87"/>
  <c r="F105" i="87"/>
  <c r="G105" i="87"/>
  <c r="H105" i="87"/>
  <c r="I105" i="87"/>
  <c r="J105" i="87"/>
  <c r="K105" i="87"/>
  <c r="L105" i="87"/>
  <c r="M105" i="87"/>
  <c r="N105" i="87"/>
  <c r="O105" i="87"/>
  <c r="C106" i="87"/>
  <c r="D106" i="87"/>
  <c r="E106" i="87"/>
  <c r="F106" i="87"/>
  <c r="G106" i="87"/>
  <c r="H106" i="87"/>
  <c r="I106" i="87"/>
  <c r="J106" i="87"/>
  <c r="K106" i="87"/>
  <c r="L106" i="87"/>
  <c r="M106" i="87"/>
  <c r="N106" i="87"/>
  <c r="O106" i="87"/>
  <c r="C107" i="87"/>
  <c r="D107" i="87"/>
  <c r="E107" i="87"/>
  <c r="F107" i="87"/>
  <c r="G107" i="87"/>
  <c r="H107" i="87"/>
  <c r="I107" i="87"/>
  <c r="J107" i="87"/>
  <c r="K107" i="87"/>
  <c r="L107" i="87"/>
  <c r="M107" i="87"/>
  <c r="N107" i="87"/>
  <c r="O107" i="87"/>
  <c r="C108" i="87"/>
  <c r="D108" i="87"/>
  <c r="E108" i="87"/>
  <c r="F108" i="87"/>
  <c r="G108" i="87"/>
  <c r="H108" i="87"/>
  <c r="I108" i="87"/>
  <c r="J108" i="87"/>
  <c r="K108" i="87"/>
  <c r="L108" i="87"/>
  <c r="M108" i="87"/>
  <c r="N108" i="87"/>
  <c r="O108" i="87"/>
  <c r="C109" i="87"/>
  <c r="D109" i="87"/>
  <c r="E109" i="87"/>
  <c r="F109" i="87"/>
  <c r="G109" i="87"/>
  <c r="H109" i="87"/>
  <c r="I109" i="87"/>
  <c r="J109" i="87"/>
  <c r="K109" i="87"/>
  <c r="L109" i="87"/>
  <c r="M109" i="87"/>
  <c r="N109" i="87"/>
  <c r="O109" i="87"/>
  <c r="C110" i="87"/>
  <c r="D110" i="87"/>
  <c r="E110" i="87"/>
  <c r="F110" i="87"/>
  <c r="G110" i="87"/>
  <c r="H110" i="87"/>
  <c r="I110" i="87"/>
  <c r="J110" i="87"/>
  <c r="K110" i="87"/>
  <c r="L110" i="87"/>
  <c r="M110" i="87"/>
  <c r="N110" i="87"/>
  <c r="O110" i="87"/>
  <c r="C111" i="87"/>
  <c r="D111" i="87"/>
  <c r="E111" i="87"/>
  <c r="F111" i="87"/>
  <c r="G111" i="87"/>
  <c r="H111" i="87"/>
  <c r="I111" i="87"/>
  <c r="J111" i="87"/>
  <c r="K111" i="87"/>
  <c r="L111" i="87"/>
  <c r="M111" i="87"/>
  <c r="N111" i="87"/>
  <c r="O111" i="87"/>
  <c r="C112" i="87"/>
  <c r="D112" i="87"/>
  <c r="E112" i="87"/>
  <c r="F112" i="87"/>
  <c r="G112" i="87"/>
  <c r="H112" i="87"/>
  <c r="I112" i="87"/>
  <c r="J112" i="87"/>
  <c r="K112" i="87"/>
  <c r="L112" i="87"/>
  <c r="M112" i="87"/>
  <c r="N112" i="87"/>
  <c r="O112" i="87"/>
  <c r="C113" i="87"/>
  <c r="D113" i="87"/>
  <c r="E113" i="87"/>
  <c r="F113" i="87"/>
  <c r="G113" i="87"/>
  <c r="H113" i="87"/>
  <c r="I113" i="87"/>
  <c r="J113" i="87"/>
  <c r="K113" i="87"/>
  <c r="L113" i="87"/>
  <c r="M113" i="87"/>
  <c r="N113" i="87"/>
  <c r="O113" i="87"/>
  <c r="C114" i="87"/>
  <c r="D114" i="87"/>
  <c r="E114" i="87"/>
  <c r="F114" i="87"/>
  <c r="G114" i="87"/>
  <c r="H114" i="87"/>
  <c r="I114" i="87"/>
  <c r="J114" i="87"/>
  <c r="K114" i="87"/>
  <c r="L114" i="87"/>
  <c r="M114" i="87"/>
  <c r="N114" i="87"/>
  <c r="O114" i="87"/>
  <c r="C115" i="87"/>
  <c r="D115" i="87"/>
  <c r="E115" i="87"/>
  <c r="F115" i="87"/>
  <c r="G115" i="87"/>
  <c r="H115" i="87"/>
  <c r="I115" i="87"/>
  <c r="J115" i="87"/>
  <c r="K115" i="87"/>
  <c r="L115" i="87"/>
  <c r="M115" i="87"/>
  <c r="N115" i="87"/>
  <c r="O115" i="87"/>
  <c r="C116" i="87"/>
  <c r="D116" i="87"/>
  <c r="E116" i="87"/>
  <c r="F116" i="87"/>
  <c r="G116" i="87"/>
  <c r="H116" i="87"/>
  <c r="I116" i="87"/>
  <c r="J116" i="87"/>
  <c r="K116" i="87"/>
  <c r="L116" i="87"/>
  <c r="M116" i="87"/>
  <c r="N116" i="87"/>
  <c r="O116" i="87"/>
  <c r="C117" i="87"/>
  <c r="D117" i="87"/>
  <c r="E117" i="87"/>
  <c r="F117" i="87"/>
  <c r="G117" i="87"/>
  <c r="H117" i="87"/>
  <c r="I117" i="87"/>
  <c r="J117" i="87"/>
  <c r="K117" i="87"/>
  <c r="L117" i="87"/>
  <c r="M117" i="87"/>
  <c r="N117" i="87"/>
  <c r="O117" i="87"/>
  <c r="C118" i="87"/>
  <c r="D118" i="87"/>
  <c r="E118" i="87"/>
  <c r="F118" i="87"/>
  <c r="G118" i="87"/>
  <c r="H118" i="87"/>
  <c r="I118" i="87"/>
  <c r="J118" i="87"/>
  <c r="K118" i="87"/>
  <c r="L118" i="87"/>
  <c r="M118" i="87"/>
  <c r="N118" i="87"/>
  <c r="O118" i="87"/>
  <c r="C119" i="87"/>
  <c r="D119" i="87"/>
  <c r="E119" i="87"/>
  <c r="F119" i="87"/>
  <c r="G119" i="87"/>
  <c r="H119" i="87"/>
  <c r="I119" i="87"/>
  <c r="J119" i="87"/>
  <c r="K119" i="87"/>
  <c r="L119" i="87"/>
  <c r="M119" i="87"/>
  <c r="N119" i="87"/>
  <c r="O119" i="87"/>
  <c r="C120" i="87"/>
  <c r="D120" i="87"/>
  <c r="E120" i="87"/>
  <c r="F120" i="87"/>
  <c r="G120" i="87"/>
  <c r="H120" i="87"/>
  <c r="I120" i="87"/>
  <c r="J120" i="87"/>
  <c r="K120" i="87"/>
  <c r="L120" i="87"/>
  <c r="M120" i="87"/>
  <c r="N120" i="87"/>
  <c r="O120" i="87"/>
  <c r="C121" i="87"/>
  <c r="D121" i="87"/>
  <c r="E121" i="87"/>
  <c r="F121" i="87"/>
  <c r="G121" i="87"/>
  <c r="H121" i="87"/>
  <c r="I121" i="87"/>
  <c r="J121" i="87"/>
  <c r="K121" i="87"/>
  <c r="L121" i="87"/>
  <c r="M121" i="87"/>
  <c r="N121" i="87"/>
  <c r="O121" i="87"/>
  <c r="C122" i="87"/>
  <c r="D122" i="87"/>
  <c r="E122" i="87"/>
  <c r="F122" i="87"/>
  <c r="G122" i="87"/>
  <c r="H122" i="87"/>
  <c r="I122" i="87"/>
  <c r="J122" i="87"/>
  <c r="K122" i="87"/>
  <c r="L122" i="87"/>
  <c r="M122" i="87"/>
  <c r="N122" i="87"/>
  <c r="O122" i="87"/>
  <c r="C123" i="87"/>
  <c r="D123" i="87"/>
  <c r="E123" i="87"/>
  <c r="F123" i="87"/>
  <c r="G123" i="87"/>
  <c r="H123" i="87"/>
  <c r="I123" i="87"/>
  <c r="J123" i="87"/>
  <c r="K123" i="87"/>
  <c r="L123" i="87"/>
  <c r="M123" i="87"/>
  <c r="N123" i="87"/>
  <c r="O123" i="87"/>
  <c r="C124" i="87"/>
  <c r="D124" i="87"/>
  <c r="E124" i="87"/>
  <c r="F124" i="87"/>
  <c r="G124" i="87"/>
  <c r="H124" i="87"/>
  <c r="I124" i="87"/>
  <c r="J124" i="87"/>
  <c r="K124" i="87"/>
  <c r="L124" i="87"/>
  <c r="M124" i="87"/>
  <c r="N124" i="87"/>
  <c r="O124" i="87"/>
  <c r="C125" i="87"/>
  <c r="D125" i="87"/>
  <c r="E125" i="87"/>
  <c r="F125" i="87"/>
  <c r="G125" i="87"/>
  <c r="H125" i="87"/>
  <c r="I125" i="87"/>
  <c r="J125" i="87"/>
  <c r="K125" i="87"/>
  <c r="L125" i="87"/>
  <c r="M125" i="87"/>
  <c r="N125" i="87"/>
  <c r="O125" i="87"/>
  <c r="C126" i="87"/>
  <c r="D126" i="87"/>
  <c r="E126" i="87"/>
  <c r="F126" i="87"/>
  <c r="G126" i="87"/>
  <c r="H126" i="87"/>
  <c r="I126" i="87"/>
  <c r="J126" i="87"/>
  <c r="K126" i="87"/>
  <c r="L126" i="87"/>
  <c r="M126" i="87"/>
  <c r="N126" i="87"/>
  <c r="O126" i="87"/>
  <c r="C127" i="87"/>
  <c r="D127" i="87"/>
  <c r="E127" i="87"/>
  <c r="F127" i="87"/>
  <c r="G127" i="87"/>
  <c r="H127" i="87"/>
  <c r="I127" i="87"/>
  <c r="J127" i="87"/>
  <c r="K127" i="87"/>
  <c r="L127" i="87"/>
  <c r="M127" i="87"/>
  <c r="N127" i="87"/>
  <c r="O127" i="87"/>
  <c r="C128" i="87"/>
  <c r="D128" i="87"/>
  <c r="E128" i="87"/>
  <c r="F128" i="87"/>
  <c r="G128" i="87"/>
  <c r="H128" i="87"/>
  <c r="I128" i="87"/>
  <c r="J128" i="87"/>
  <c r="K128" i="87"/>
  <c r="L128" i="87"/>
  <c r="M128" i="87"/>
  <c r="N128" i="87"/>
  <c r="O128" i="87"/>
  <c r="C129" i="87"/>
  <c r="D129" i="87"/>
  <c r="E129" i="87"/>
  <c r="F129" i="87"/>
  <c r="G129" i="87"/>
  <c r="H129" i="87"/>
  <c r="I129" i="87"/>
  <c r="J129" i="87"/>
  <c r="K129" i="87"/>
  <c r="L129" i="87"/>
  <c r="M129" i="87"/>
  <c r="N129" i="87"/>
  <c r="O129" i="87"/>
  <c r="C132" i="87"/>
  <c r="D132" i="87"/>
  <c r="E132" i="87"/>
  <c r="F132" i="87"/>
  <c r="G132" i="87"/>
  <c r="H132" i="87"/>
  <c r="I132" i="87"/>
  <c r="J132" i="87"/>
  <c r="K132" i="87"/>
  <c r="L132" i="87"/>
  <c r="M132" i="87"/>
  <c r="N132" i="87"/>
  <c r="O132" i="87"/>
  <c r="C133" i="87"/>
  <c r="D133" i="87"/>
  <c r="E133" i="87"/>
  <c r="F133" i="87"/>
  <c r="G133" i="87"/>
  <c r="H133" i="87"/>
  <c r="I133" i="87"/>
  <c r="J133" i="87"/>
  <c r="K133" i="87"/>
  <c r="L133" i="87"/>
  <c r="M133" i="87"/>
  <c r="N133" i="87"/>
  <c r="O133" i="87"/>
  <c r="C134" i="87"/>
  <c r="D134" i="87"/>
  <c r="E134" i="87"/>
  <c r="F134" i="87"/>
  <c r="G134" i="87"/>
  <c r="H134" i="87"/>
  <c r="I134" i="87"/>
  <c r="J134" i="87"/>
  <c r="K134" i="87"/>
  <c r="L134" i="87"/>
  <c r="M134" i="87"/>
  <c r="N134" i="87"/>
  <c r="O134" i="87"/>
  <c r="C135" i="87"/>
  <c r="D135" i="87"/>
  <c r="E135" i="87"/>
  <c r="F135" i="87"/>
  <c r="G135" i="87"/>
  <c r="H135" i="87"/>
  <c r="I135" i="87"/>
  <c r="J135" i="87"/>
  <c r="K135" i="87"/>
  <c r="L135" i="87"/>
  <c r="M135" i="87"/>
  <c r="N135" i="87"/>
  <c r="O135" i="87"/>
  <c r="D136" i="87"/>
  <c r="E136" i="87"/>
  <c r="F136" i="87"/>
  <c r="G136" i="87"/>
  <c r="H136" i="87"/>
  <c r="I136" i="87"/>
  <c r="J136" i="87"/>
  <c r="K136" i="87"/>
  <c r="L136" i="87"/>
  <c r="M136" i="87"/>
  <c r="N136" i="87"/>
  <c r="O136" i="87"/>
  <c r="N11" i="117" l="1"/>
  <c r="C27" i="87"/>
  <c r="D27" i="87"/>
  <c r="E27" i="87"/>
  <c r="F27" i="87"/>
  <c r="G27" i="87"/>
  <c r="H27" i="87"/>
  <c r="I27" i="87"/>
  <c r="J27" i="87"/>
  <c r="K27" i="87"/>
  <c r="L27" i="87"/>
  <c r="M27" i="87"/>
  <c r="N27" i="87"/>
  <c r="O27" i="87"/>
  <c r="C28" i="87"/>
  <c r="D28" i="87"/>
  <c r="E28" i="87"/>
  <c r="F28" i="87"/>
  <c r="G28" i="87"/>
  <c r="H28" i="87"/>
  <c r="I28" i="87"/>
  <c r="J28" i="87"/>
  <c r="K28" i="87"/>
  <c r="L28" i="87"/>
  <c r="M28" i="87"/>
  <c r="N28" i="87"/>
  <c r="O28" i="87"/>
  <c r="C29" i="87"/>
  <c r="D29" i="87"/>
  <c r="E29" i="87"/>
  <c r="F29" i="87"/>
  <c r="G29" i="87"/>
  <c r="H29" i="87"/>
  <c r="I29" i="87"/>
  <c r="J29" i="87"/>
  <c r="K29" i="87"/>
  <c r="L29" i="87"/>
  <c r="M29" i="87"/>
  <c r="N29" i="87"/>
  <c r="O29" i="87"/>
  <c r="C30" i="87"/>
  <c r="D30" i="87"/>
  <c r="E30" i="87"/>
  <c r="F30" i="87"/>
  <c r="G30" i="87"/>
  <c r="H30" i="87"/>
  <c r="I30" i="87"/>
  <c r="J30" i="87"/>
  <c r="K30" i="87"/>
  <c r="L30" i="87"/>
  <c r="M30" i="87"/>
  <c r="N30" i="87"/>
  <c r="O30" i="87"/>
  <c r="C31" i="87"/>
  <c r="D31" i="87"/>
  <c r="E31" i="87"/>
  <c r="F31" i="87"/>
  <c r="G31" i="87"/>
  <c r="H31" i="87"/>
  <c r="I31" i="87"/>
  <c r="J31" i="87"/>
  <c r="K31" i="87"/>
  <c r="L31" i="87"/>
  <c r="M31" i="87"/>
  <c r="N31" i="87"/>
  <c r="O31" i="87"/>
  <c r="C32" i="87"/>
  <c r="D32" i="87"/>
  <c r="E32" i="87"/>
  <c r="F32" i="87"/>
  <c r="G32" i="87"/>
  <c r="H32" i="87"/>
  <c r="I32" i="87"/>
  <c r="J32" i="87"/>
  <c r="K32" i="87"/>
  <c r="L32" i="87"/>
  <c r="M32" i="87"/>
  <c r="N32" i="87"/>
  <c r="O32" i="87"/>
  <c r="C33" i="87"/>
  <c r="D33" i="87"/>
  <c r="E33" i="87"/>
  <c r="F33" i="87"/>
  <c r="G33" i="87"/>
  <c r="H33" i="87"/>
  <c r="I33" i="87"/>
  <c r="J33" i="87"/>
  <c r="K33" i="87"/>
  <c r="L33" i="87"/>
  <c r="M33" i="87"/>
  <c r="N33" i="87"/>
  <c r="O33" i="87"/>
  <c r="C35" i="87"/>
  <c r="D35" i="87"/>
  <c r="E35" i="87"/>
  <c r="F35" i="87"/>
  <c r="G35" i="87"/>
  <c r="H35" i="87"/>
  <c r="I35" i="87"/>
  <c r="J35" i="87"/>
  <c r="K35" i="87"/>
  <c r="L35" i="87"/>
  <c r="M35" i="87"/>
  <c r="N35" i="87"/>
  <c r="O35" i="87"/>
  <c r="C36" i="87"/>
  <c r="D36" i="87"/>
  <c r="E36" i="87"/>
  <c r="F36" i="87"/>
  <c r="G36" i="87"/>
  <c r="H36" i="87"/>
  <c r="I36" i="87"/>
  <c r="J36" i="87"/>
  <c r="K36" i="87"/>
  <c r="L36" i="87"/>
  <c r="M36" i="87"/>
  <c r="N36" i="87"/>
  <c r="O36" i="87"/>
  <c r="C37" i="87"/>
  <c r="D37" i="87"/>
  <c r="E37" i="87"/>
  <c r="F37" i="87"/>
  <c r="G37" i="87"/>
  <c r="H37" i="87"/>
  <c r="I37" i="87"/>
  <c r="J37" i="87"/>
  <c r="K37" i="87"/>
  <c r="L37" i="87"/>
  <c r="M37" i="87"/>
  <c r="N37" i="87"/>
  <c r="O37" i="87"/>
  <c r="C38" i="87"/>
  <c r="D38" i="87"/>
  <c r="E38" i="87"/>
  <c r="F38" i="87"/>
  <c r="G38" i="87"/>
  <c r="H38" i="87"/>
  <c r="I38" i="87"/>
  <c r="J38" i="87"/>
  <c r="K38" i="87"/>
  <c r="L38" i="87"/>
  <c r="M38" i="87"/>
  <c r="N38" i="87"/>
  <c r="O38" i="87"/>
  <c r="C39" i="87"/>
  <c r="D39" i="87"/>
  <c r="E39" i="87"/>
  <c r="F39" i="87"/>
  <c r="G39" i="87"/>
  <c r="H39" i="87"/>
  <c r="I39" i="87"/>
  <c r="J39" i="87"/>
  <c r="K39" i="87"/>
  <c r="L39" i="87"/>
  <c r="M39" i="87"/>
  <c r="N39" i="87"/>
  <c r="O39" i="87"/>
  <c r="C40" i="87"/>
  <c r="D40" i="87"/>
  <c r="E40" i="87"/>
  <c r="F40" i="87"/>
  <c r="G40" i="87"/>
  <c r="H40" i="87"/>
  <c r="I40" i="87"/>
  <c r="J40" i="87"/>
  <c r="K40" i="87"/>
  <c r="L40" i="87"/>
  <c r="M40" i="87"/>
  <c r="N40" i="87"/>
  <c r="O40" i="87"/>
  <c r="C41" i="87"/>
  <c r="D41" i="87"/>
  <c r="E41" i="87"/>
  <c r="F41" i="87"/>
  <c r="G41" i="87"/>
  <c r="H41" i="87"/>
  <c r="I41" i="87"/>
  <c r="J41" i="87"/>
  <c r="K41" i="87"/>
  <c r="L41" i="87"/>
  <c r="M41" i="87"/>
  <c r="N41" i="87"/>
  <c r="O41" i="87"/>
  <c r="C42" i="87"/>
  <c r="D42" i="87"/>
  <c r="E42" i="87"/>
  <c r="F42" i="87"/>
  <c r="G42" i="87"/>
  <c r="H42" i="87"/>
  <c r="I42" i="87"/>
  <c r="J42" i="87"/>
  <c r="K42" i="87"/>
  <c r="L42" i="87"/>
  <c r="M42" i="87"/>
  <c r="N42" i="87"/>
  <c r="O42" i="87"/>
  <c r="C43" i="87"/>
  <c r="D43" i="87"/>
  <c r="E43" i="87"/>
  <c r="F43" i="87"/>
  <c r="G43" i="87"/>
  <c r="H43" i="87"/>
  <c r="I43" i="87"/>
  <c r="J43" i="87"/>
  <c r="K43" i="87"/>
  <c r="L43" i="87"/>
  <c r="M43" i="87"/>
  <c r="N43" i="87"/>
  <c r="O43" i="87"/>
  <c r="C44" i="87"/>
  <c r="D44" i="87"/>
  <c r="E44" i="87"/>
  <c r="F44" i="87"/>
  <c r="G44" i="87"/>
  <c r="H44" i="87"/>
  <c r="I44" i="87"/>
  <c r="J44" i="87"/>
  <c r="K44" i="87"/>
  <c r="L44" i="87"/>
  <c r="M44" i="87"/>
  <c r="N44" i="87"/>
  <c r="O44" i="87"/>
  <c r="C45" i="87"/>
  <c r="D45" i="87"/>
  <c r="E45" i="87"/>
  <c r="F45" i="87"/>
  <c r="G45" i="87"/>
  <c r="H45" i="87"/>
  <c r="I45" i="87"/>
  <c r="J45" i="87"/>
  <c r="K45" i="87"/>
  <c r="L45" i="87"/>
  <c r="M45" i="87"/>
  <c r="N45" i="87"/>
  <c r="O45" i="87"/>
  <c r="C46" i="87"/>
  <c r="D46" i="87"/>
  <c r="E46" i="87"/>
  <c r="F46" i="87"/>
  <c r="G46" i="87"/>
  <c r="H46" i="87"/>
  <c r="I46" i="87"/>
  <c r="J46" i="87"/>
  <c r="K46" i="87"/>
  <c r="L46" i="87"/>
  <c r="M46" i="87"/>
  <c r="N46" i="87"/>
  <c r="O46" i="87"/>
  <c r="C47" i="87"/>
  <c r="D47" i="87"/>
  <c r="E47" i="87"/>
  <c r="F47" i="87"/>
  <c r="G47" i="87"/>
  <c r="H47" i="87"/>
  <c r="I47" i="87"/>
  <c r="J47" i="87"/>
  <c r="K47" i="87"/>
  <c r="L47" i="87"/>
  <c r="M47" i="87"/>
  <c r="N47" i="87"/>
  <c r="O47" i="87"/>
  <c r="C48" i="87"/>
  <c r="D48" i="87"/>
  <c r="E48" i="87"/>
  <c r="F48" i="87"/>
  <c r="G48" i="87"/>
  <c r="H48" i="87"/>
  <c r="I48" i="87"/>
  <c r="J48" i="87"/>
  <c r="K48" i="87"/>
  <c r="L48" i="87"/>
  <c r="M48" i="87"/>
  <c r="N48" i="87"/>
  <c r="O48" i="87"/>
  <c r="C49" i="87"/>
  <c r="D49" i="87"/>
  <c r="E49" i="87"/>
  <c r="F49" i="87"/>
  <c r="G49" i="87"/>
  <c r="H49" i="87"/>
  <c r="I49" i="87"/>
  <c r="J49" i="87"/>
  <c r="K49" i="87"/>
  <c r="L49" i="87"/>
  <c r="M49" i="87"/>
  <c r="N49" i="87"/>
  <c r="O49" i="87"/>
  <c r="C50" i="87"/>
  <c r="D50" i="87"/>
  <c r="E50" i="87"/>
  <c r="F50" i="87"/>
  <c r="G50" i="87"/>
  <c r="H50" i="87"/>
  <c r="I50" i="87"/>
  <c r="J50" i="87"/>
  <c r="K50" i="87"/>
  <c r="L50" i="87"/>
  <c r="M50" i="87"/>
  <c r="N50" i="87"/>
  <c r="O50" i="87"/>
  <c r="C51" i="87"/>
  <c r="D51" i="87"/>
  <c r="E51" i="87"/>
  <c r="F51" i="87"/>
  <c r="G51" i="87"/>
  <c r="H51" i="87"/>
  <c r="I51" i="87"/>
  <c r="J51" i="87"/>
  <c r="K51" i="87"/>
  <c r="L51" i="87"/>
  <c r="M51" i="87"/>
  <c r="N51" i="87"/>
  <c r="O51" i="87"/>
  <c r="C52" i="87"/>
  <c r="D52" i="87"/>
  <c r="E52" i="87"/>
  <c r="F52" i="87"/>
  <c r="G52" i="87"/>
  <c r="H52" i="87"/>
  <c r="I52" i="87"/>
  <c r="J52" i="87"/>
  <c r="K52" i="87"/>
  <c r="L52" i="87"/>
  <c r="M52" i="87"/>
  <c r="N52" i="87"/>
  <c r="O52" i="87"/>
  <c r="C53" i="87"/>
  <c r="D53" i="87"/>
  <c r="E53" i="87"/>
  <c r="F53" i="87"/>
  <c r="G53" i="87"/>
  <c r="H53" i="87"/>
  <c r="I53" i="87"/>
  <c r="J53" i="87"/>
  <c r="K53" i="87"/>
  <c r="L53" i="87"/>
  <c r="M53" i="87"/>
  <c r="N53" i="87"/>
  <c r="O53" i="87"/>
  <c r="C54" i="87"/>
  <c r="D54" i="87"/>
  <c r="E54" i="87"/>
  <c r="F54" i="87"/>
  <c r="G54" i="87"/>
  <c r="H54" i="87"/>
  <c r="I54" i="87"/>
  <c r="J54" i="87"/>
  <c r="K54" i="87"/>
  <c r="L54" i="87"/>
  <c r="M54" i="87"/>
  <c r="N54" i="87"/>
  <c r="O54" i="87"/>
  <c r="C55" i="87"/>
  <c r="D55" i="87"/>
  <c r="E55" i="87"/>
  <c r="F55" i="87"/>
  <c r="G55" i="87"/>
  <c r="H55" i="87"/>
  <c r="I55" i="87"/>
  <c r="J55" i="87"/>
  <c r="K55" i="87"/>
  <c r="L55" i="87"/>
  <c r="M55" i="87"/>
  <c r="N55" i="87"/>
  <c r="O55" i="87"/>
  <c r="C56" i="87"/>
  <c r="D56" i="87"/>
  <c r="E56" i="87"/>
  <c r="F56" i="87"/>
  <c r="G56" i="87"/>
  <c r="H56" i="87"/>
  <c r="I56" i="87"/>
  <c r="J56" i="87"/>
  <c r="K56" i="87"/>
  <c r="L56" i="87"/>
  <c r="M56" i="87"/>
  <c r="N56" i="87"/>
  <c r="O56" i="87"/>
  <c r="C57" i="87"/>
  <c r="D57" i="87"/>
  <c r="E57" i="87"/>
  <c r="F57" i="87"/>
  <c r="G57" i="87"/>
  <c r="H57" i="87"/>
  <c r="I57" i="87"/>
  <c r="J57" i="87"/>
  <c r="K57" i="87"/>
  <c r="L57" i="87"/>
  <c r="M57" i="87"/>
  <c r="N57" i="87"/>
  <c r="O57" i="87"/>
  <c r="C58" i="87"/>
  <c r="D58" i="87"/>
  <c r="E58" i="87"/>
  <c r="F58" i="87"/>
  <c r="G58" i="87"/>
  <c r="H58" i="87"/>
  <c r="I58" i="87"/>
  <c r="J58" i="87"/>
  <c r="K58" i="87"/>
  <c r="L58" i="87"/>
  <c r="M58" i="87"/>
  <c r="N58" i="87"/>
  <c r="O58" i="87"/>
  <c r="C59" i="87"/>
  <c r="D59" i="87"/>
  <c r="E59" i="87"/>
  <c r="F59" i="87"/>
  <c r="G59" i="87"/>
  <c r="H59" i="87"/>
  <c r="I59" i="87"/>
  <c r="J59" i="87"/>
  <c r="K59" i="87"/>
  <c r="L59" i="87"/>
  <c r="M59" i="87"/>
  <c r="N59" i="87"/>
  <c r="O59" i="87"/>
  <c r="C60" i="87"/>
  <c r="D60" i="87"/>
  <c r="E60" i="87"/>
  <c r="F60" i="87"/>
  <c r="G60" i="87"/>
  <c r="H60" i="87"/>
  <c r="I60" i="87"/>
  <c r="J60" i="87"/>
  <c r="K60" i="87"/>
  <c r="L60" i="87"/>
  <c r="M60" i="87"/>
  <c r="N60" i="87"/>
  <c r="O60" i="87"/>
  <c r="C61" i="87"/>
  <c r="D61" i="87"/>
  <c r="E61" i="87"/>
  <c r="F61" i="87"/>
  <c r="G61" i="87"/>
  <c r="H61" i="87"/>
  <c r="I61" i="87"/>
  <c r="J61" i="87"/>
  <c r="K61" i="87"/>
  <c r="L61" i="87"/>
  <c r="M61" i="87"/>
  <c r="N61" i="87"/>
  <c r="O61" i="87"/>
  <c r="C62" i="87"/>
  <c r="D62" i="87"/>
  <c r="E62" i="87"/>
  <c r="F62" i="87"/>
  <c r="G62" i="87"/>
  <c r="H62" i="87"/>
  <c r="I62" i="87"/>
  <c r="J62" i="87"/>
  <c r="K62" i="87"/>
  <c r="L62" i="87"/>
  <c r="M62" i="87"/>
  <c r="N62" i="87"/>
  <c r="O62" i="87"/>
  <c r="C63" i="87"/>
  <c r="D63" i="87"/>
  <c r="E63" i="87"/>
  <c r="F63" i="87"/>
  <c r="G63" i="87"/>
  <c r="H63" i="87"/>
  <c r="I63" i="87"/>
  <c r="J63" i="87"/>
  <c r="K63" i="87"/>
  <c r="L63" i="87"/>
  <c r="M63" i="87"/>
  <c r="N63" i="87"/>
  <c r="O63" i="87"/>
  <c r="C64" i="87"/>
  <c r="D64" i="87"/>
  <c r="E64" i="87"/>
  <c r="F64" i="87"/>
  <c r="G64" i="87"/>
  <c r="H64" i="87"/>
  <c r="I64" i="87"/>
  <c r="J64" i="87"/>
  <c r="K64" i="87"/>
  <c r="L64" i="87"/>
  <c r="M64" i="87"/>
  <c r="N64" i="87"/>
  <c r="O64" i="87"/>
  <c r="C65" i="87"/>
  <c r="D65" i="87"/>
  <c r="E65" i="87"/>
  <c r="F65" i="87"/>
  <c r="G65" i="87"/>
  <c r="H65" i="87"/>
  <c r="I65" i="87"/>
  <c r="J65" i="87"/>
  <c r="K65" i="87"/>
  <c r="L65" i="87"/>
  <c r="M65" i="87"/>
  <c r="N65" i="87"/>
  <c r="O65" i="87"/>
  <c r="C66" i="87"/>
  <c r="D66" i="87"/>
  <c r="E66" i="87"/>
  <c r="F66" i="87"/>
  <c r="G66" i="87"/>
  <c r="H66" i="87"/>
  <c r="I66" i="87"/>
  <c r="J66" i="87"/>
  <c r="K66" i="87"/>
  <c r="L66" i="87"/>
  <c r="M66" i="87"/>
  <c r="N66" i="87"/>
  <c r="O66" i="87"/>
  <c r="C67" i="87"/>
  <c r="D67" i="87"/>
  <c r="E67" i="87"/>
  <c r="F67" i="87"/>
  <c r="G67" i="87"/>
  <c r="H67" i="87"/>
  <c r="I67" i="87"/>
  <c r="J67" i="87"/>
  <c r="K67" i="87"/>
  <c r="L67" i="87"/>
  <c r="M67" i="87"/>
  <c r="N67" i="87"/>
  <c r="O67" i="87"/>
  <c r="C68" i="87"/>
  <c r="D68" i="87"/>
  <c r="E68" i="87"/>
  <c r="F68" i="87"/>
  <c r="G68" i="87"/>
  <c r="H68" i="87"/>
  <c r="I68" i="87"/>
  <c r="J68" i="87"/>
  <c r="K68" i="87"/>
  <c r="L68" i="87"/>
  <c r="M68" i="87"/>
  <c r="N68" i="87"/>
  <c r="O68" i="87"/>
  <c r="C69" i="87"/>
  <c r="D69" i="87"/>
  <c r="E69" i="87"/>
  <c r="F69" i="87"/>
  <c r="G69" i="87"/>
  <c r="H69" i="87"/>
  <c r="I69" i="87"/>
  <c r="J69" i="87"/>
  <c r="K69" i="87"/>
  <c r="L69" i="87"/>
  <c r="M69" i="87"/>
  <c r="N69" i="87"/>
  <c r="O69" i="87"/>
  <c r="C70" i="87"/>
  <c r="D70" i="87"/>
  <c r="E70" i="87"/>
  <c r="F70" i="87"/>
  <c r="G70" i="87"/>
  <c r="H70" i="87"/>
  <c r="I70" i="87"/>
  <c r="J70" i="87"/>
  <c r="K70" i="87"/>
  <c r="L70" i="87"/>
  <c r="M70" i="87"/>
  <c r="N70" i="87"/>
  <c r="O70" i="87"/>
  <c r="C71" i="87"/>
  <c r="D71" i="87"/>
  <c r="E71" i="87"/>
  <c r="F71" i="87"/>
  <c r="G71" i="87"/>
  <c r="H71" i="87"/>
  <c r="I71" i="87"/>
  <c r="J71" i="87"/>
  <c r="K71" i="87"/>
  <c r="L71" i="87"/>
  <c r="M71" i="87"/>
  <c r="N71" i="87"/>
  <c r="O71" i="87"/>
  <c r="C72" i="87"/>
  <c r="D72" i="87"/>
  <c r="E72" i="87"/>
  <c r="F72" i="87"/>
  <c r="G72" i="87"/>
  <c r="H72" i="87"/>
  <c r="I72" i="87"/>
  <c r="J72" i="87"/>
  <c r="K72" i="87"/>
  <c r="L72" i="87"/>
  <c r="M72" i="87"/>
  <c r="N72" i="87"/>
  <c r="O72" i="87"/>
  <c r="C73" i="87"/>
  <c r="D73" i="87"/>
  <c r="E73" i="87"/>
  <c r="F73" i="87"/>
  <c r="G73" i="87"/>
  <c r="H73" i="87"/>
  <c r="I73" i="87"/>
  <c r="J73" i="87"/>
  <c r="K73" i="87"/>
  <c r="L73" i="87"/>
  <c r="M73" i="87"/>
  <c r="N73" i="87"/>
  <c r="O73" i="87"/>
  <c r="C74" i="87"/>
  <c r="D74" i="87"/>
  <c r="E74" i="87"/>
  <c r="F74" i="87"/>
  <c r="G74" i="87"/>
  <c r="H74" i="87"/>
  <c r="I74" i="87"/>
  <c r="J74" i="87"/>
  <c r="K74" i="87"/>
  <c r="L74" i="87"/>
  <c r="M74" i="87"/>
  <c r="N74" i="87"/>
  <c r="O74" i="87"/>
  <c r="C75" i="87"/>
  <c r="D75" i="87"/>
  <c r="E75" i="87"/>
  <c r="F75" i="87"/>
  <c r="G75" i="87"/>
  <c r="H75" i="87"/>
  <c r="I75" i="87"/>
  <c r="J75" i="87"/>
  <c r="K75" i="87"/>
  <c r="L75" i="87"/>
  <c r="M75" i="87"/>
  <c r="N75" i="87"/>
  <c r="O75" i="87"/>
  <c r="C79" i="87"/>
  <c r="D79" i="87"/>
  <c r="E79" i="87"/>
  <c r="F79" i="87"/>
  <c r="G79" i="87"/>
  <c r="H79" i="87"/>
  <c r="I79" i="87"/>
  <c r="J79" i="87"/>
  <c r="K79" i="87"/>
  <c r="L79" i="87"/>
  <c r="M79" i="87"/>
  <c r="N79" i="87"/>
  <c r="O79" i="87"/>
  <c r="C80" i="87"/>
  <c r="D80" i="87"/>
  <c r="E80" i="87"/>
  <c r="F80" i="87"/>
  <c r="G80" i="87"/>
  <c r="H80" i="87"/>
  <c r="I80" i="87"/>
  <c r="J80" i="87"/>
  <c r="K80" i="87"/>
  <c r="L80" i="87"/>
  <c r="M80" i="87"/>
  <c r="N80" i="87"/>
  <c r="O80" i="87"/>
  <c r="N11" i="115" l="1"/>
  <c r="N13" i="117"/>
  <c r="M11" i="117" a="1"/>
  <c r="M11" i="117" s="1"/>
  <c r="M12" i="117" a="1"/>
  <c r="M12" i="117" s="1"/>
  <c r="B42" i="89"/>
  <c r="C42" i="89"/>
  <c r="B43" i="89"/>
  <c r="C43" i="89"/>
  <c r="B44" i="89"/>
  <c r="C44" i="89"/>
  <c r="B45" i="89"/>
  <c r="C45" i="89"/>
  <c r="B46" i="89"/>
  <c r="C46" i="89"/>
  <c r="B47" i="89"/>
  <c r="C47" i="89"/>
  <c r="B48" i="89"/>
  <c r="C48" i="89"/>
  <c r="B49" i="89"/>
  <c r="C49" i="89"/>
  <c r="B37" i="89"/>
  <c r="C37" i="89"/>
  <c r="B38" i="89"/>
  <c r="C38" i="89"/>
  <c r="D47" i="106"/>
  <c r="E47" i="106" s="1"/>
  <c r="D48" i="106"/>
  <c r="E48" i="106" s="1"/>
  <c r="D49" i="106"/>
  <c r="E49" i="106" s="1"/>
  <c r="D50" i="106"/>
  <c r="E50" i="106" s="1"/>
  <c r="D51" i="106"/>
  <c r="E51" i="106" s="1"/>
  <c r="D52" i="106"/>
  <c r="E52" i="106" s="1"/>
  <c r="D53" i="106"/>
  <c r="E53" i="106" s="1"/>
  <c r="D54" i="106"/>
  <c r="E54" i="106" s="1"/>
  <c r="D55" i="106"/>
  <c r="E55" i="106" s="1"/>
  <c r="D56" i="106"/>
  <c r="E56" i="106" s="1"/>
  <c r="D57" i="106"/>
  <c r="E57" i="106" s="1"/>
  <c r="D58" i="106"/>
  <c r="E58" i="106" s="1"/>
  <c r="D59" i="106"/>
  <c r="E59" i="106" s="1"/>
  <c r="D60" i="106"/>
  <c r="E60" i="106" s="1"/>
  <c r="M10" i="115" a="1"/>
  <c r="M10" i="115" s="1"/>
  <c r="M9" i="115" a="1"/>
  <c r="M9" i="115" s="1"/>
  <c r="M11" i="115" l="1"/>
  <c r="M13" i="117"/>
  <c r="C2" i="92"/>
  <c r="C2" i="91"/>
  <c r="C2" i="93"/>
  <c r="M18" i="88"/>
  <c r="L18" i="88"/>
  <c r="J18" i="88"/>
  <c r="I18" i="88"/>
  <c r="G18" i="88"/>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64" i="89"/>
  <c r="B64" i="89"/>
  <c r="C63" i="89"/>
  <c r="B63" i="89"/>
  <c r="C62" i="89"/>
  <c r="B62" i="89"/>
  <c r="C58" i="89"/>
  <c r="B58" i="89"/>
  <c r="C57" i="89"/>
  <c r="B57" i="89"/>
  <c r="C56" i="89"/>
  <c r="B56" i="89"/>
  <c r="C55" i="89"/>
  <c r="B55" i="89"/>
  <c r="C54" i="89"/>
  <c r="B54" i="89"/>
  <c r="C53" i="89"/>
  <c r="B53" i="89"/>
  <c r="C52" i="89"/>
  <c r="B52" i="89"/>
  <c r="C51" i="89"/>
  <c r="B51" i="89"/>
  <c r="C41" i="89"/>
  <c r="B41" i="89"/>
  <c r="C36" i="89"/>
  <c r="B36" i="89"/>
  <c r="C40" i="89"/>
  <c r="B40" i="89"/>
  <c r="C35" i="89"/>
  <c r="B35" i="89"/>
  <c r="C39" i="89"/>
  <c r="B39" i="89"/>
  <c r="C34" i="89"/>
  <c r="B34" i="89"/>
  <c r="C50" i="89"/>
  <c r="B50" i="89"/>
  <c r="C33" i="89"/>
  <c r="B33" i="89"/>
  <c r="C32" i="89"/>
  <c r="B32" i="89"/>
  <c r="C31" i="89"/>
  <c r="B31" i="89"/>
  <c r="C30" i="89"/>
  <c r="B30" i="89"/>
  <c r="C29" i="89"/>
  <c r="B29" i="89"/>
  <c r="C28" i="89"/>
  <c r="B28" i="89"/>
  <c r="C27" i="89"/>
  <c r="B27" i="89"/>
  <c r="C24" i="89"/>
  <c r="B24" i="89"/>
  <c r="C26" i="89"/>
  <c r="B26" i="89"/>
  <c r="C23" i="89"/>
  <c r="B23" i="89"/>
  <c r="C25" i="89"/>
  <c r="B25" i="89"/>
  <c r="C22" i="89"/>
  <c r="B22" i="89"/>
  <c r="C21" i="89"/>
  <c r="B21" i="89"/>
  <c r="C20" i="89"/>
  <c r="B20" i="89"/>
  <c r="C19" i="89"/>
  <c r="B19" i="89"/>
  <c r="C17" i="89"/>
  <c r="B17" i="89"/>
  <c r="C16" i="89"/>
  <c r="B16" i="89"/>
  <c r="C15" i="89"/>
  <c r="B15" i="89"/>
  <c r="C14" i="89"/>
  <c r="B14" i="89"/>
  <c r="C13" i="89"/>
  <c r="B13" i="89"/>
  <c r="F12" i="89"/>
  <c r="C11" i="89"/>
  <c r="B11" i="89"/>
  <c r="F11" i="89"/>
  <c r="B12" i="89"/>
  <c r="F10" i="89"/>
  <c r="C10" i="89"/>
  <c r="B10" i="89"/>
  <c r="N138" i="87"/>
  <c r="M138" i="87"/>
  <c r="L138" i="87"/>
  <c r="K138" i="87"/>
  <c r="J138" i="87"/>
  <c r="I138" i="87"/>
  <c r="H138" i="87"/>
  <c r="G138" i="87"/>
  <c r="F138" i="87"/>
  <c r="E138" i="87"/>
  <c r="D138" i="87"/>
  <c r="C138" i="87"/>
  <c r="O137" i="87"/>
  <c r="N137" i="87"/>
  <c r="M137" i="87"/>
  <c r="L137" i="87"/>
  <c r="K137" i="87"/>
  <c r="J137" i="87"/>
  <c r="I137" i="87"/>
  <c r="H137" i="87"/>
  <c r="G137" i="87"/>
  <c r="F137" i="87"/>
  <c r="E137" i="87"/>
  <c r="D137" i="87"/>
  <c r="C137" i="87"/>
  <c r="O86" i="87"/>
  <c r="N86" i="87"/>
  <c r="M86" i="87"/>
  <c r="L86" i="87"/>
  <c r="K86" i="87"/>
  <c r="J86" i="87"/>
  <c r="I86" i="87"/>
  <c r="H86" i="87"/>
  <c r="G86" i="87"/>
  <c r="F86" i="87"/>
  <c r="E86" i="87"/>
  <c r="D86" i="87"/>
  <c r="C86" i="87"/>
  <c r="O81" i="87"/>
  <c r="N81" i="87"/>
  <c r="M81" i="87"/>
  <c r="L81" i="87"/>
  <c r="K81" i="87"/>
  <c r="J81" i="87"/>
  <c r="I81" i="87"/>
  <c r="H81" i="87"/>
  <c r="G81" i="87"/>
  <c r="F81" i="87"/>
  <c r="E81" i="87"/>
  <c r="D81" i="87"/>
  <c r="C81"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I34" i="95"/>
  <c r="F34" i="95" a="1"/>
  <c r="F34" i="95" s="1"/>
  <c r="D34" i="95"/>
  <c r="C34" i="95"/>
  <c r="J33" i="95"/>
  <c r="I33" i="95"/>
  <c r="F33" i="95" a="1"/>
  <c r="F33" i="95" s="1"/>
  <c r="D33" i="95"/>
  <c r="C33" i="95"/>
  <c r="J32" i="95"/>
  <c r="I32" i="95"/>
  <c r="F32" i="95" a="1"/>
  <c r="F32" i="95" s="1"/>
  <c r="D32" i="95"/>
  <c r="C32" i="95"/>
  <c r="J31" i="95"/>
  <c r="I31" i="95"/>
  <c r="F31" i="95" a="1"/>
  <c r="F31" i="95" s="1"/>
  <c r="D31" i="95"/>
  <c r="C31" i="95"/>
  <c r="J30" i="95"/>
  <c r="K30" i="95" s="1"/>
  <c r="I30" i="95"/>
  <c r="F30" i="95" a="1"/>
  <c r="F30" i="95" s="1"/>
  <c r="D30" i="95"/>
  <c r="C30" i="95"/>
  <c r="J29" i="95"/>
  <c r="I29" i="95"/>
  <c r="F29" i="95" a="1"/>
  <c r="F29" i="95" s="1"/>
  <c r="D29" i="95"/>
  <c r="C29" i="95"/>
  <c r="J28" i="95"/>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I23" i="95"/>
  <c r="F23" i="95" a="1"/>
  <c r="F23" i="95" s="1"/>
  <c r="D23" i="95"/>
  <c r="C23" i="95"/>
  <c r="J18" i="95"/>
  <c r="K18" i="95" s="1"/>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E15" i="95" s="1"/>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F11" i="95" a="1"/>
  <c r="F11" i="95" s="1"/>
  <c r="D11" i="95"/>
  <c r="C11" i="95"/>
  <c r="E11" i="95" s="1"/>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G104" i="110" s="1" a="1"/>
  <c r="B99" i="110"/>
  <c r="E102" i="110" s="1" a="1"/>
  <c r="T92" i="110"/>
  <c r="AF97" i="110" s="1" a="1"/>
  <c r="B92" i="110"/>
  <c r="P97" i="110" s="1" a="1"/>
  <c r="T85" i="110"/>
  <c r="AF89" i="110" s="1" a="1"/>
  <c r="B85" i="110"/>
  <c r="D90" i="110" s="1" a="1"/>
  <c r="T78" i="110"/>
  <c r="AG81" i="110" s="1" a="1"/>
  <c r="B78" i="110"/>
  <c r="O83" i="110" s="1" a="1"/>
  <c r="T71" i="110"/>
  <c r="X76" i="110" s="1" a="1"/>
  <c r="B71" i="110"/>
  <c r="T64" i="110"/>
  <c r="AE69" i="110" s="1"/>
  <c r="B64" i="110"/>
  <c r="Q69" i="110" s="1"/>
  <c r="T57" i="110"/>
  <c r="B57" i="110"/>
  <c r="H60" i="110" s="1"/>
  <c r="T50" i="110"/>
  <c r="AB55" i="110" s="1"/>
  <c r="B50" i="110"/>
  <c r="J54" i="110" s="1"/>
  <c r="T43" i="110"/>
  <c r="Z47" i="110" s="1"/>
  <c r="B43" i="110"/>
  <c r="N48" i="110" s="1"/>
  <c r="T36" i="110"/>
  <c r="AA41" i="110" s="1"/>
  <c r="B36" i="110"/>
  <c r="I39" i="110" s="1"/>
  <c r="T29" i="110"/>
  <c r="B29" i="110"/>
  <c r="P34" i="110" s="1"/>
  <c r="T22" i="110"/>
  <c r="B22" i="110"/>
  <c r="J27" i="110" s="1"/>
  <c r="T15" i="110"/>
  <c r="AJ20" i="110" s="1"/>
  <c r="B15" i="110"/>
  <c r="G20" i="110" s="1"/>
  <c r="T8" i="110"/>
  <c r="V12" i="110" s="1"/>
  <c r="B8" i="110"/>
  <c r="J12" i="110" s="1"/>
  <c r="B99" i="108"/>
  <c r="G102" i="108" s="1" a="1"/>
  <c r="T92" i="108"/>
  <c r="AF94" i="108" s="1" a="1"/>
  <c r="AF94" i="108" s="1"/>
  <c r="B92" i="108"/>
  <c r="L96" i="108" s="1" a="1"/>
  <c r="L96" i="108" s="1"/>
  <c r="T85" i="108"/>
  <c r="AJ90" i="108" s="1" a="1"/>
  <c r="AJ90" i="108" s="1"/>
  <c r="B85" i="108"/>
  <c r="T78" i="108"/>
  <c r="B78" i="108"/>
  <c r="G80" i="108" s="1" a="1"/>
  <c r="G80" i="108" s="1"/>
  <c r="T71" i="108"/>
  <c r="X75" i="108" s="1" a="1"/>
  <c r="X75" i="108" s="1"/>
  <c r="B71" i="108"/>
  <c r="Q73" i="108" s="1"/>
  <c r="T64" i="108"/>
  <c r="V69" i="108" s="1"/>
  <c r="B64" i="108"/>
  <c r="D68" i="108" s="1"/>
  <c r="T57" i="108"/>
  <c r="AB60" i="108" s="1"/>
  <c r="B57" i="108"/>
  <c r="T50" i="108"/>
  <c r="Z55" i="108" s="1"/>
  <c r="B50" i="108"/>
  <c r="C55" i="108" s="1"/>
  <c r="T43" i="108"/>
  <c r="Y46" i="108" s="1"/>
  <c r="B43" i="108"/>
  <c r="H47" i="108" s="1"/>
  <c r="T36" i="108"/>
  <c r="AC41" i="108" s="1"/>
  <c r="B36" i="108"/>
  <c r="M41" i="108" s="1"/>
  <c r="T29" i="108"/>
  <c r="AH31" i="108" s="1"/>
  <c r="B29" i="108"/>
  <c r="O34" i="108" s="1"/>
  <c r="T22" i="108"/>
  <c r="AC27" i="108" s="1"/>
  <c r="B22" i="108"/>
  <c r="F24" i="108" s="1"/>
  <c r="T15" i="108"/>
  <c r="B15" i="108"/>
  <c r="L20" i="108" s="1"/>
  <c r="T8" i="108"/>
  <c r="U11" i="108" s="1"/>
  <c r="B8" i="108"/>
  <c r="B99" i="109"/>
  <c r="T92" i="109"/>
  <c r="V94" i="109" s="1"/>
  <c r="B92" i="109"/>
  <c r="C97" i="109" s="1"/>
  <c r="T85" i="109"/>
  <c r="AB89" i="109" s="1"/>
  <c r="B85" i="109"/>
  <c r="K88" i="109" s="1"/>
  <c r="T78" i="109"/>
  <c r="V83" i="109" s="1"/>
  <c r="B78" i="109"/>
  <c r="T71" i="109"/>
  <c r="AB76" i="109" s="1"/>
  <c r="B71" i="109"/>
  <c r="J74" i="109" s="1"/>
  <c r="T64" i="109"/>
  <c r="AB69" i="109" s="1"/>
  <c r="B64" i="109"/>
  <c r="O67" i="109" s="1"/>
  <c r="T57" i="109"/>
  <c r="AB62" i="109" s="1"/>
  <c r="B57" i="109"/>
  <c r="R59" i="109" s="1"/>
  <c r="T50" i="109"/>
  <c r="AB55" i="109" s="1"/>
  <c r="B50" i="109"/>
  <c r="K53" i="109" s="1"/>
  <c r="T43" i="109"/>
  <c r="X47" i="109" s="1"/>
  <c r="B43" i="109"/>
  <c r="T36" i="109"/>
  <c r="W38" i="109" s="1"/>
  <c r="B36" i="109"/>
  <c r="J41" i="109" s="1"/>
  <c r="T29" i="109"/>
  <c r="AB33" i="109" s="1"/>
  <c r="B29" i="109"/>
  <c r="L34" i="109" s="1"/>
  <c r="T22" i="109"/>
  <c r="U27" i="109" s="1"/>
  <c r="B22" i="109"/>
  <c r="Q27" i="109" s="1"/>
  <c r="T15" i="109"/>
  <c r="B15" i="109"/>
  <c r="T8" i="109"/>
  <c r="B8" i="109"/>
  <c r="O13" i="109" s="1"/>
  <c r="T99" i="107"/>
  <c r="Z103" i="107" s="1"/>
  <c r="B99" i="107"/>
  <c r="R104" i="107" s="1"/>
  <c r="T92" i="107"/>
  <c r="AE95" i="107" s="1"/>
  <c r="B92" i="107"/>
  <c r="M97" i="107" s="1"/>
  <c r="T85" i="107"/>
  <c r="B85" i="107"/>
  <c r="R87" i="107" s="1"/>
  <c r="T78" i="107"/>
  <c r="B78" i="107"/>
  <c r="N83" i="107" s="1"/>
  <c r="T71" i="107"/>
  <c r="AB73" i="107" s="1"/>
  <c r="B71" i="107"/>
  <c r="R76" i="107" s="1"/>
  <c r="T64" i="107"/>
  <c r="Z69" i="107" s="1"/>
  <c r="B64" i="107"/>
  <c r="R69" i="107" s="1"/>
  <c r="T57" i="107"/>
  <c r="AI62" i="107" s="1"/>
  <c r="B57" i="107"/>
  <c r="R62" i="107" s="1"/>
  <c r="T50" i="107"/>
  <c r="U55" i="107" s="1"/>
  <c r="B50" i="107"/>
  <c r="R55" i="107" s="1"/>
  <c r="T43" i="107"/>
  <c r="AH48" i="107" s="1"/>
  <c r="B43" i="107"/>
  <c r="R48" i="107" s="1"/>
  <c r="T36" i="107"/>
  <c r="X39" i="107" s="1"/>
  <c r="B36" i="107"/>
  <c r="R41" i="107" s="1"/>
  <c r="T29" i="107"/>
  <c r="AJ34" i="107" s="1"/>
  <c r="B29" i="107"/>
  <c r="R34" i="107" s="1"/>
  <c r="T22" i="107"/>
  <c r="B22" i="107"/>
  <c r="R27" i="107" s="1"/>
  <c r="T15" i="107"/>
  <c r="AD20" i="107" s="1"/>
  <c r="B15" i="107"/>
  <c r="R20" i="107" s="1"/>
  <c r="T8" i="107"/>
  <c r="AH13" i="107" s="1"/>
  <c r="B8" i="107"/>
  <c r="R13" i="107" s="1"/>
  <c r="B124" i="81"/>
  <c r="D124" i="81" s="1"/>
  <c r="B123" i="81"/>
  <c r="D123" i="81" s="1"/>
  <c r="B122" i="81"/>
  <c r="D122" i="81" s="1"/>
  <c r="B121" i="81"/>
  <c r="D121" i="81" s="1"/>
  <c r="B120" i="81"/>
  <c r="D120" i="81" s="1"/>
  <c r="B119" i="81"/>
  <c r="D119" i="81" s="1"/>
  <c r="B118" i="81"/>
  <c r="D118" i="81" s="1"/>
  <c r="B117" i="81"/>
  <c r="D117" i="81" s="1"/>
  <c r="B116" i="81"/>
  <c r="D116" i="81" s="1"/>
  <c r="B115" i="81"/>
  <c r="D115" i="81" s="1"/>
  <c r="B114" i="81"/>
  <c r="D114" i="81" s="1"/>
  <c r="B113" i="81"/>
  <c r="D113" i="81" s="1"/>
  <c r="B112" i="81"/>
  <c r="D112" i="81" s="1"/>
  <c r="B111" i="81"/>
  <c r="D111" i="81" s="1"/>
  <c r="B110" i="81"/>
  <c r="D110" i="81" s="1"/>
  <c r="B109" i="81"/>
  <c r="D109" i="81" s="1"/>
  <c r="B108" i="81"/>
  <c r="D108" i="81" s="1"/>
  <c r="B107" i="81"/>
  <c r="D107" i="81" s="1"/>
  <c r="B106" i="81"/>
  <c r="D106" i="81" s="1"/>
  <c r="B105" i="81"/>
  <c r="D105" i="81" s="1"/>
  <c r="B104" i="81"/>
  <c r="D104" i="81" s="1"/>
  <c r="B103" i="81"/>
  <c r="D103" i="81" s="1"/>
  <c r="B102" i="81"/>
  <c r="D102" i="81" s="1"/>
  <c r="B101" i="81"/>
  <c r="D101" i="81" s="1"/>
  <c r="B100" i="81"/>
  <c r="D100" i="81" s="1"/>
  <c r="B99" i="81"/>
  <c r="D99" i="81" s="1"/>
  <c r="B98" i="81"/>
  <c r="D98" i="81" s="1"/>
  <c r="G97" i="81"/>
  <c r="E97" i="81"/>
  <c r="D97" i="81"/>
  <c r="C97" i="81"/>
  <c r="B94" i="81"/>
  <c r="I94" i="81" s="1"/>
  <c r="B93" i="81"/>
  <c r="J93" i="81" s="1"/>
  <c r="B92" i="81"/>
  <c r="I92" i="81" s="1"/>
  <c r="B91" i="81"/>
  <c r="B90" i="81"/>
  <c r="I90" i="81" s="1"/>
  <c r="B89" i="81"/>
  <c r="I89" i="81" s="1"/>
  <c r="B88" i="81"/>
  <c r="I88" i="81" s="1"/>
  <c r="B87" i="81"/>
  <c r="F87" i="81" s="1"/>
  <c r="B86" i="81"/>
  <c r="I86" i="81" s="1"/>
  <c r="B85" i="81"/>
  <c r="J85" i="81" s="1"/>
  <c r="B84" i="81"/>
  <c r="I84" i="81" s="1"/>
  <c r="B83" i="81"/>
  <c r="B82" i="81"/>
  <c r="I82" i="81" s="1"/>
  <c r="B81" i="81"/>
  <c r="I81" i="81" s="1"/>
  <c r="B80" i="81"/>
  <c r="I80" i="81" s="1"/>
  <c r="B79" i="81"/>
  <c r="F79" i="81" s="1"/>
  <c r="B78" i="81"/>
  <c r="I78" i="81" s="1"/>
  <c r="B77" i="81"/>
  <c r="F77" i="81" s="1"/>
  <c r="B76" i="81"/>
  <c r="I76" i="81" s="1"/>
  <c r="B75" i="81"/>
  <c r="B74" i="81"/>
  <c r="I74" i="81" s="1"/>
  <c r="B73" i="81"/>
  <c r="F73" i="81" s="1"/>
  <c r="B72" i="81"/>
  <c r="I72" i="81" s="1"/>
  <c r="B71" i="81"/>
  <c r="F71" i="81" s="1"/>
  <c r="B70" i="81"/>
  <c r="I70" i="81" s="1"/>
  <c r="B69" i="81"/>
  <c r="I69" i="81" s="1"/>
  <c r="B68" i="81"/>
  <c r="I68" i="81" s="1"/>
  <c r="J67" i="81"/>
  <c r="I67" i="81"/>
  <c r="G67" i="81"/>
  <c r="F67" i="81"/>
  <c r="D67" i="81"/>
  <c r="C67" i="81"/>
  <c r="B64" i="81"/>
  <c r="F64" i="81" s="1"/>
  <c r="B63" i="81"/>
  <c r="F63" i="81" s="1"/>
  <c r="B62" i="81"/>
  <c r="F62" i="81" s="1"/>
  <c r="B61" i="81"/>
  <c r="B60" i="81"/>
  <c r="F60" i="81" s="1"/>
  <c r="B59" i="81"/>
  <c r="F59" i="81" s="1"/>
  <c r="B58" i="81"/>
  <c r="F58" i="81" s="1"/>
  <c r="B57" i="81"/>
  <c r="F57" i="81" s="1"/>
  <c r="B56" i="81"/>
  <c r="B55" i="81"/>
  <c r="B54" i="81"/>
  <c r="I54" i="81" s="1"/>
  <c r="B53" i="81"/>
  <c r="B52" i="81"/>
  <c r="L52" i="81" s="1"/>
  <c r="B51" i="81"/>
  <c r="B50" i="81"/>
  <c r="B49" i="81"/>
  <c r="F49" i="81" s="1"/>
  <c r="B48" i="81"/>
  <c r="G48" i="81" s="1"/>
  <c r="B47" i="81"/>
  <c r="L47" i="81" s="1"/>
  <c r="B46" i="81"/>
  <c r="B45" i="81"/>
  <c r="B44" i="81"/>
  <c r="K44" i="81" s="1"/>
  <c r="B43" i="81"/>
  <c r="I43" i="81" s="1"/>
  <c r="B42" i="81"/>
  <c r="I42" i="81" s="1"/>
  <c r="B41" i="81"/>
  <c r="G41" i="81" s="1"/>
  <c r="B40" i="81"/>
  <c r="G40" i="81" s="1"/>
  <c r="B39" i="81"/>
  <c r="L39" i="81" s="1"/>
  <c r="B38" i="81"/>
  <c r="K38" i="81" s="1"/>
  <c r="L37" i="81"/>
  <c r="K37" i="81"/>
  <c r="I37" i="81"/>
  <c r="G37" i="81"/>
  <c r="F37" i="81"/>
  <c r="D37" i="81"/>
  <c r="C37" i="81"/>
  <c r="B34" i="81"/>
  <c r="H34" i="81" s="1"/>
  <c r="B33" i="81"/>
  <c r="H33" i="81" s="1"/>
  <c r="B32" i="81"/>
  <c r="H32" i="81" s="1"/>
  <c r="B31" i="81"/>
  <c r="B30" i="81"/>
  <c r="H30" i="81" s="1"/>
  <c r="B29" i="81"/>
  <c r="D29" i="81" s="1"/>
  <c r="B28" i="81"/>
  <c r="H28" i="81" s="1"/>
  <c r="B27" i="81"/>
  <c r="B26" i="81"/>
  <c r="H26" i="81" s="1"/>
  <c r="B25" i="81"/>
  <c r="D25" i="81" s="1"/>
  <c r="B24" i="81"/>
  <c r="H24" i="81" s="1"/>
  <c r="B23" i="81"/>
  <c r="B22" i="81"/>
  <c r="H22" i="81" s="1"/>
  <c r="B21" i="81"/>
  <c r="H21" i="81" s="1"/>
  <c r="B20" i="81"/>
  <c r="H20" i="81" s="1"/>
  <c r="B19" i="81"/>
  <c r="B18" i="81"/>
  <c r="H18" i="81" s="1"/>
  <c r="B17" i="81"/>
  <c r="B16" i="81"/>
  <c r="H16" i="81" s="1"/>
  <c r="B15" i="81"/>
  <c r="B14" i="81"/>
  <c r="H14" i="81" s="1"/>
  <c r="B13" i="81"/>
  <c r="D13" i="81" s="1"/>
  <c r="B12" i="81"/>
  <c r="H12" i="81" s="1"/>
  <c r="B11" i="81"/>
  <c r="B10" i="81"/>
  <c r="H10" i="81" s="1"/>
  <c r="B9" i="81"/>
  <c r="B8" i="81"/>
  <c r="H8" i="81" s="1"/>
  <c r="K7" i="81"/>
  <c r="J7" i="81"/>
  <c r="H7" i="81"/>
  <c r="G7" i="81"/>
  <c r="E7" i="81"/>
  <c r="D7" i="81"/>
  <c r="C7" i="81"/>
  <c r="T99" i="105"/>
  <c r="AJ104" i="105" s="1"/>
  <c r="B99" i="105"/>
  <c r="F102" i="105" s="1"/>
  <c r="T92" i="105"/>
  <c r="V97" i="105" s="1"/>
  <c r="B92" i="105"/>
  <c r="K97" i="105" s="1"/>
  <c r="T85" i="105"/>
  <c r="AG90" i="105" s="1"/>
  <c r="B85" i="105"/>
  <c r="O88" i="105" s="1"/>
  <c r="T78" i="105"/>
  <c r="AD82" i="105" s="1"/>
  <c r="B78" i="105"/>
  <c r="L83" i="105" s="1"/>
  <c r="T71" i="105"/>
  <c r="X76" i="105" s="1"/>
  <c r="B71" i="105"/>
  <c r="O76" i="105" s="1"/>
  <c r="T64" i="105"/>
  <c r="AJ69" i="105" s="1"/>
  <c r="B64" i="105"/>
  <c r="L69" i="105" s="1"/>
  <c r="T57" i="105"/>
  <c r="Z59" i="105" s="1"/>
  <c r="B57" i="105"/>
  <c r="O60" i="105" s="1"/>
  <c r="T50" i="105"/>
  <c r="Y54" i="105" s="1"/>
  <c r="B50" i="105"/>
  <c r="O55" i="105" s="1"/>
  <c r="T43" i="105"/>
  <c r="B43" i="105"/>
  <c r="T36" i="105"/>
  <c r="AJ39" i="105" s="1"/>
  <c r="B36" i="105"/>
  <c r="G41" i="105" s="1"/>
  <c r="T29" i="105"/>
  <c r="AD34" i="105" s="1"/>
  <c r="B29" i="105"/>
  <c r="T22" i="105"/>
  <c r="AG27" i="105" s="1"/>
  <c r="B22" i="105"/>
  <c r="O27" i="105" s="1"/>
  <c r="T15" i="105"/>
  <c r="AC20" i="105" s="1"/>
  <c r="B15" i="105"/>
  <c r="L19" i="105" s="1"/>
  <c r="T8" i="105"/>
  <c r="AH13" i="105" s="1"/>
  <c r="B8" i="105"/>
  <c r="O11" i="105" s="1"/>
  <c r="T99" i="102"/>
  <c r="U101" i="102" s="1"/>
  <c r="B99" i="102"/>
  <c r="P99" i="102" s="1"/>
  <c r="T92" i="102"/>
  <c r="AH92" i="102" s="1"/>
  <c r="B92" i="102"/>
  <c r="L97" i="102" s="1"/>
  <c r="T85" i="102"/>
  <c r="AH85" i="102" s="1"/>
  <c r="B85" i="102"/>
  <c r="K88" i="102" s="1"/>
  <c r="T78" i="102"/>
  <c r="AH78" i="102" s="1"/>
  <c r="B78" i="102"/>
  <c r="L83" i="102" s="1"/>
  <c r="T71" i="102"/>
  <c r="AB76" i="102" s="1"/>
  <c r="B71" i="102"/>
  <c r="L104" i="102" s="1"/>
  <c r="T64" i="102"/>
  <c r="AB97" i="102" s="1"/>
  <c r="B64" i="102"/>
  <c r="L66" i="102" s="1"/>
  <c r="T57" i="102"/>
  <c r="AH61" i="102" s="1"/>
  <c r="B57" i="102"/>
  <c r="O62" i="102" s="1"/>
  <c r="T50" i="102"/>
  <c r="AH55" i="102" s="1"/>
  <c r="B50" i="102"/>
  <c r="P54" i="102" s="1"/>
  <c r="T43" i="102"/>
  <c r="AG47" i="102" s="1"/>
  <c r="B43" i="102"/>
  <c r="F46" i="102" s="1"/>
  <c r="T36" i="102"/>
  <c r="AJ39" i="102" s="1"/>
  <c r="B36" i="102"/>
  <c r="G41" i="102" s="1"/>
  <c r="T29" i="102"/>
  <c r="AD32" i="102" s="1"/>
  <c r="B29" i="102"/>
  <c r="O34" i="102" s="1"/>
  <c r="T22" i="102"/>
  <c r="AC27" i="102" s="1"/>
  <c r="B22" i="102"/>
  <c r="D27" i="102" s="1"/>
  <c r="T15" i="102"/>
  <c r="W20" i="102" s="1"/>
  <c r="B15" i="102"/>
  <c r="J20" i="102" s="1"/>
  <c r="T8" i="102"/>
  <c r="B8" i="102"/>
  <c r="P13" i="102" s="1"/>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P66" i="111"/>
  <c r="O66" i="111"/>
  <c r="N66" i="111"/>
  <c r="M66" i="111"/>
  <c r="L66" i="111"/>
  <c r="K66" i="111"/>
  <c r="AD66" i="111" s="1"/>
  <c r="J66" i="111"/>
  <c r="I66" i="111"/>
  <c r="H66" i="111"/>
  <c r="G66" i="111"/>
  <c r="F66" i="111"/>
  <c r="E66" i="111"/>
  <c r="D66" i="111"/>
  <c r="C66" i="111"/>
  <c r="V66" i="111" s="1"/>
  <c r="S65" i="111"/>
  <c r="R65" i="111"/>
  <c r="Q65" i="111"/>
  <c r="P65" i="111"/>
  <c r="O65" i="111"/>
  <c r="N65" i="111"/>
  <c r="M65" i="111"/>
  <c r="L65" i="111"/>
  <c r="K65" i="111"/>
  <c r="AD65" i="111" s="1"/>
  <c r="J65" i="111"/>
  <c r="I65" i="111"/>
  <c r="H65" i="111"/>
  <c r="G65" i="111"/>
  <c r="F65" i="111"/>
  <c r="E65" i="111"/>
  <c r="D65" i="111"/>
  <c r="C65" i="111"/>
  <c r="V65" i="111" s="1"/>
  <c r="S64" i="111"/>
  <c r="R64" i="111"/>
  <c r="Q64" i="111"/>
  <c r="P64" i="111"/>
  <c r="O64" i="111"/>
  <c r="N64" i="111"/>
  <c r="M64" i="111"/>
  <c r="L64" i="111"/>
  <c r="K64" i="111"/>
  <c r="AD64" i="111" s="1"/>
  <c r="J64" i="111"/>
  <c r="I64" i="111"/>
  <c r="H64" i="111"/>
  <c r="G64" i="111"/>
  <c r="F64" i="111"/>
  <c r="E64" i="111"/>
  <c r="D64" i="111"/>
  <c r="C64" i="111"/>
  <c r="V64" i="111" s="1"/>
  <c r="S63" i="111"/>
  <c r="R63" i="111"/>
  <c r="Q63" i="111"/>
  <c r="P63" i="111"/>
  <c r="O63" i="111"/>
  <c r="N63" i="111"/>
  <c r="M63" i="111"/>
  <c r="L63" i="111"/>
  <c r="K63" i="111"/>
  <c r="AD63" i="111" s="1"/>
  <c r="J63" i="111"/>
  <c r="I63" i="111"/>
  <c r="H63" i="111"/>
  <c r="G63" i="111"/>
  <c r="F63" i="111"/>
  <c r="E63" i="111"/>
  <c r="D63" i="111"/>
  <c r="C63" i="111"/>
  <c r="V63" i="111" s="1"/>
  <c r="S62" i="111"/>
  <c r="R62" i="111"/>
  <c r="Q62" i="111"/>
  <c r="P62" i="111"/>
  <c r="O62" i="111"/>
  <c r="N62" i="111"/>
  <c r="M62" i="111"/>
  <c r="L62" i="111"/>
  <c r="K62" i="111"/>
  <c r="AD62" i="111" s="1"/>
  <c r="J62" i="111"/>
  <c r="I62" i="111"/>
  <c r="H62" i="111"/>
  <c r="G62" i="111"/>
  <c r="F62" i="111"/>
  <c r="E62" i="111"/>
  <c r="D62" i="111"/>
  <c r="C62" i="111"/>
  <c r="V62" i="111" s="1"/>
  <c r="S61" i="111"/>
  <c r="R61" i="111"/>
  <c r="Q61" i="111"/>
  <c r="P61" i="111"/>
  <c r="O61" i="111"/>
  <c r="N61" i="111"/>
  <c r="M61" i="111"/>
  <c r="L61" i="111"/>
  <c r="K61" i="111"/>
  <c r="AD61" i="111" s="1"/>
  <c r="J61" i="111"/>
  <c r="I61" i="111"/>
  <c r="H61" i="111"/>
  <c r="G61" i="111"/>
  <c r="F61" i="11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N59" i="111"/>
  <c r="M59" i="111"/>
  <c r="L59" i="111"/>
  <c r="K59" i="111"/>
  <c r="AD59" i="111" s="1"/>
  <c r="J59" i="111"/>
  <c r="I59" i="111"/>
  <c r="H59" i="111"/>
  <c r="G59" i="11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Q56" i="111"/>
  <c r="P56" i="111"/>
  <c r="O56" i="111"/>
  <c r="N56" i="111"/>
  <c r="M56" i="111"/>
  <c r="L56" i="111"/>
  <c r="K56" i="111"/>
  <c r="AD56" i="111" s="1"/>
  <c r="J56" i="111"/>
  <c r="I56" i="111"/>
  <c r="H56" i="111"/>
  <c r="G56" i="111"/>
  <c r="F56" i="111"/>
  <c r="E56" i="111"/>
  <c r="D56" i="111"/>
  <c r="C56" i="111"/>
  <c r="V56" i="111" s="1"/>
  <c r="S52" i="111"/>
  <c r="R52" i="111"/>
  <c r="Q52" i="111"/>
  <c r="P52" i="111"/>
  <c r="O52" i="111"/>
  <c r="N52" i="111"/>
  <c r="M52" i="111"/>
  <c r="L52" i="111"/>
  <c r="K52" i="111"/>
  <c r="AD52" i="111" s="1"/>
  <c r="J52" i="111"/>
  <c r="I52" i="111"/>
  <c r="H52" i="111"/>
  <c r="G52" i="111"/>
  <c r="F52" i="111"/>
  <c r="E52" i="111"/>
  <c r="D52" i="111"/>
  <c r="C52" i="111"/>
  <c r="V52" i="111" s="1"/>
  <c r="S51" i="111"/>
  <c r="R51" i="111"/>
  <c r="Q51" i="111"/>
  <c r="P51" i="111"/>
  <c r="O51" i="111"/>
  <c r="N51" i="111"/>
  <c r="M51" i="111"/>
  <c r="L51" i="111"/>
  <c r="K51" i="111"/>
  <c r="AD51" i="111" s="1"/>
  <c r="J51" i="111"/>
  <c r="I51" i="111"/>
  <c r="H51" i="111"/>
  <c r="G51" i="111"/>
  <c r="F51" i="111"/>
  <c r="E51" i="111"/>
  <c r="D51" i="111"/>
  <c r="C51" i="111"/>
  <c r="V51" i="111" s="1"/>
  <c r="S50" i="111"/>
  <c r="R50" i="111"/>
  <c r="Q50" i="111"/>
  <c r="P50" i="111"/>
  <c r="O50" i="111"/>
  <c r="N50" i="111"/>
  <c r="M50" i="111"/>
  <c r="L50" i="111"/>
  <c r="K50" i="111"/>
  <c r="AD50" i="111" s="1"/>
  <c r="J50" i="111"/>
  <c r="I50" i="111"/>
  <c r="H50" i="111"/>
  <c r="G50" i="11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Q47" i="111"/>
  <c r="P47" i="111"/>
  <c r="O47" i="111"/>
  <c r="N47" i="111"/>
  <c r="M47" i="111"/>
  <c r="L47" i="111"/>
  <c r="K47" i="111"/>
  <c r="AD47" i="111" s="1"/>
  <c r="J47" i="111"/>
  <c r="I47" i="111"/>
  <c r="H47" i="111"/>
  <c r="G47" i="111"/>
  <c r="F47" i="111"/>
  <c r="E47" i="111"/>
  <c r="D47" i="111"/>
  <c r="C47" i="111"/>
  <c r="V47" i="111" s="1"/>
  <c r="S46" i="11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AG45" i="111" s="1"/>
  <c r="M45" i="111"/>
  <c r="L45" i="111"/>
  <c r="K45" i="111"/>
  <c r="AD45" i="111" s="1"/>
  <c r="J45" i="111"/>
  <c r="I45" i="111"/>
  <c r="H45" i="111"/>
  <c r="G45" i="111"/>
  <c r="F45" i="111"/>
  <c r="Y45" i="111" s="1"/>
  <c r="E45" i="111"/>
  <c r="D45" i="111"/>
  <c r="C45" i="111"/>
  <c r="V45" i="111" s="1"/>
  <c r="S44" i="111"/>
  <c r="R44" i="111"/>
  <c r="Q44" i="111"/>
  <c r="P44" i="111"/>
  <c r="O44" i="111"/>
  <c r="N44" i="111"/>
  <c r="M44" i="111"/>
  <c r="L44" i="111"/>
  <c r="K44" i="111"/>
  <c r="AD44" i="111" s="1"/>
  <c r="J44" i="111"/>
  <c r="I44" i="111"/>
  <c r="H44" i="111"/>
  <c r="G44" i="111"/>
  <c r="F44" i="111"/>
  <c r="E44" i="111"/>
  <c r="D44" i="111"/>
  <c r="C44" i="111"/>
  <c r="V44" i="111" s="1"/>
  <c r="S43" i="11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N42" i="111"/>
  <c r="M42" i="111"/>
  <c r="L42" i="111"/>
  <c r="K42" i="111"/>
  <c r="AD42" i="111" s="1"/>
  <c r="J42" i="111"/>
  <c r="I42" i="111"/>
  <c r="H42" i="111"/>
  <c r="G42" i="111"/>
  <c r="F42" i="111"/>
  <c r="E42" i="111"/>
  <c r="D42" i="111"/>
  <c r="C42" i="111"/>
  <c r="V42" i="111" s="1"/>
  <c r="S41" i="11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AD35" i="111" s="1"/>
  <c r="J35" i="111"/>
  <c r="I35" i="111"/>
  <c r="H35" i="111"/>
  <c r="G35" i="111"/>
  <c r="F35" i="111"/>
  <c r="E35" i="111"/>
  <c r="D35" i="111"/>
  <c r="C35" i="111"/>
  <c r="V35" i="111" s="1"/>
  <c r="S34" i="111"/>
  <c r="R34" i="111"/>
  <c r="Q34" i="111"/>
  <c r="P34" i="111"/>
  <c r="O34" i="111"/>
  <c r="N34" i="111"/>
  <c r="M34" i="111"/>
  <c r="L34" i="111"/>
  <c r="K34" i="111"/>
  <c r="AD34" i="111" s="1"/>
  <c r="J34" i="111"/>
  <c r="I34" i="111"/>
  <c r="H34" i="111"/>
  <c r="G34" i="111"/>
  <c r="F34" i="111"/>
  <c r="E34" i="111"/>
  <c r="D34" i="111"/>
  <c r="C34" i="111"/>
  <c r="V34" i="111" s="1"/>
  <c r="S33" i="111"/>
  <c r="R33" i="111"/>
  <c r="Q33" i="111"/>
  <c r="P33" i="111"/>
  <c r="O33" i="111"/>
  <c r="N33" i="111"/>
  <c r="M33" i="111"/>
  <c r="L33" i="111"/>
  <c r="K33" i="111"/>
  <c r="AD33" i="111" s="1"/>
  <c r="J33" i="111"/>
  <c r="I33" i="111"/>
  <c r="H33" i="111"/>
  <c r="G33" i="11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N31" i="111"/>
  <c r="M31" i="111"/>
  <c r="L31" i="111"/>
  <c r="K31" i="111"/>
  <c r="AD31" i="111" s="1"/>
  <c r="J31" i="111"/>
  <c r="I31" i="111"/>
  <c r="H31" i="111"/>
  <c r="G31" i="111"/>
  <c r="F31" i="111"/>
  <c r="E31" i="111"/>
  <c r="D31" i="111"/>
  <c r="C31" i="111"/>
  <c r="V31" i="111" s="1"/>
  <c r="S30" i="111"/>
  <c r="R30" i="111"/>
  <c r="Q30" i="111"/>
  <c r="P30" i="11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S27" i="111"/>
  <c r="R27" i="111"/>
  <c r="Q27" i="111"/>
  <c r="P27" i="111"/>
  <c r="O27" i="111"/>
  <c r="N27" i="111"/>
  <c r="M27" i="111"/>
  <c r="L27" i="111"/>
  <c r="K27" i="111"/>
  <c r="AD27" i="111" s="1"/>
  <c r="J27" i="111"/>
  <c r="I27" i="111"/>
  <c r="H27" i="111"/>
  <c r="G27" i="111"/>
  <c r="F27" i="111"/>
  <c r="E27" i="11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R24" i="111"/>
  <c r="Q24" i="111"/>
  <c r="P24" i="111"/>
  <c r="O24" i="111"/>
  <c r="N24" i="111"/>
  <c r="M24" i="111"/>
  <c r="L24" i="111"/>
  <c r="K24" i="111"/>
  <c r="AD24" i="111" s="1"/>
  <c r="J24" i="111"/>
  <c r="I24" i="111"/>
  <c r="H24" i="111"/>
  <c r="G24" i="111"/>
  <c r="F24" i="111"/>
  <c r="E24" i="111"/>
  <c r="D24" i="111"/>
  <c r="C24" i="111"/>
  <c r="V24" i="111" s="1"/>
  <c r="S23" i="111"/>
  <c r="R23" i="111"/>
  <c r="Q23" i="111"/>
  <c r="P23" i="111"/>
  <c r="O23" i="111"/>
  <c r="N23" i="111"/>
  <c r="M23" i="111"/>
  <c r="L23" i="111"/>
  <c r="K23" i="111"/>
  <c r="AD23" i="111" s="1"/>
  <c r="J23" i="111"/>
  <c r="I23" i="111"/>
  <c r="H23" i="111"/>
  <c r="G23" i="111"/>
  <c r="F23" i="111"/>
  <c r="E23" i="111"/>
  <c r="D23" i="111"/>
  <c r="C23" i="111"/>
  <c r="V23" i="111" s="1"/>
  <c r="S18" i="111"/>
  <c r="R18" i="111"/>
  <c r="Q18" i="111"/>
  <c r="P18" i="111"/>
  <c r="O18" i="111"/>
  <c r="N18" i="111"/>
  <c r="M18" i="111"/>
  <c r="L18" i="111"/>
  <c r="K18" i="111"/>
  <c r="AD18" i="111" s="1"/>
  <c r="J18" i="111"/>
  <c r="I18" i="111"/>
  <c r="H18" i="111"/>
  <c r="G18" i="111"/>
  <c r="F18" i="111"/>
  <c r="E18" i="111"/>
  <c r="D18" i="111"/>
  <c r="C18" i="111"/>
  <c r="V18" i="111" s="1"/>
  <c r="S17" i="111"/>
  <c r="R17" i="111"/>
  <c r="Q17" i="111"/>
  <c r="P17" i="111"/>
  <c r="O17" i="111"/>
  <c r="N17" i="111"/>
  <c r="M17" i="111"/>
  <c r="L17" i="111"/>
  <c r="K17" i="111"/>
  <c r="AD17" i="111" s="1"/>
  <c r="J17" i="111"/>
  <c r="I17" i="111"/>
  <c r="H17" i="111"/>
  <c r="G17" i="111"/>
  <c r="F17" i="111"/>
  <c r="E17" i="111"/>
  <c r="D17" i="111"/>
  <c r="C17" i="111"/>
  <c r="V17" i="111" s="1"/>
  <c r="S16" i="111"/>
  <c r="R16" i="111"/>
  <c r="Q16" i="111"/>
  <c r="P16" i="111"/>
  <c r="O16" i="111"/>
  <c r="N16" i="111"/>
  <c r="M16" i="111"/>
  <c r="L16" i="111"/>
  <c r="K16" i="111"/>
  <c r="AD16" i="111" s="1"/>
  <c r="J16" i="111"/>
  <c r="I16" i="111"/>
  <c r="H16" i="111"/>
  <c r="G16" i="111"/>
  <c r="F16" i="111"/>
  <c r="E16" i="111"/>
  <c r="D16" i="111"/>
  <c r="C16" i="111"/>
  <c r="V16" i="111" s="1"/>
  <c r="S15" i="111"/>
  <c r="R15" i="111"/>
  <c r="Q15" i="111"/>
  <c r="P15" i="111"/>
  <c r="O15" i="111"/>
  <c r="N15" i="111"/>
  <c r="M15" i="111"/>
  <c r="L15" i="111"/>
  <c r="K15" i="111"/>
  <c r="AD15" i="111" s="1"/>
  <c r="J15" i="111"/>
  <c r="I15" i="111"/>
  <c r="H15" i="111"/>
  <c r="G15" i="111"/>
  <c r="F15" i="111"/>
  <c r="E15" i="111"/>
  <c r="D15" i="111"/>
  <c r="C15" i="111"/>
  <c r="V15" i="111" s="1"/>
  <c r="S14" i="111"/>
  <c r="R14" i="111"/>
  <c r="Q14" i="111"/>
  <c r="P14" i="111"/>
  <c r="O14" i="111"/>
  <c r="N14" i="111"/>
  <c r="M14" i="111"/>
  <c r="L14" i="111"/>
  <c r="K14" i="111"/>
  <c r="AD14" i="111" s="1"/>
  <c r="J14" i="111"/>
  <c r="I14" i="111"/>
  <c r="H14" i="111"/>
  <c r="G14" i="111"/>
  <c r="F14" i="111"/>
  <c r="E14" i="111"/>
  <c r="D14" i="111"/>
  <c r="C14" i="111"/>
  <c r="V14" i="111" s="1"/>
  <c r="S13" i="111"/>
  <c r="R13" i="111"/>
  <c r="Q13" i="111"/>
  <c r="P13" i="111"/>
  <c r="O13" i="111"/>
  <c r="N13" i="111"/>
  <c r="M13" i="111"/>
  <c r="L13" i="111"/>
  <c r="K13" i="111"/>
  <c r="AD13" i="111" s="1"/>
  <c r="J13" i="111"/>
  <c r="I13" i="111"/>
  <c r="H13" i="111"/>
  <c r="G13" i="11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R11" i="111"/>
  <c r="Q11" i="111"/>
  <c r="P11" i="111"/>
  <c r="O11" i="111"/>
  <c r="N11" i="111"/>
  <c r="M11" i="111"/>
  <c r="L11" i="111"/>
  <c r="K11" i="111"/>
  <c r="AD11" i="111" s="1"/>
  <c r="J11" i="111"/>
  <c r="I11" i="111"/>
  <c r="H11" i="111"/>
  <c r="G11" i="111"/>
  <c r="F11" i="111"/>
  <c r="E11" i="111"/>
  <c r="D11" i="111"/>
  <c r="C11" i="111"/>
  <c r="V11" i="111" s="1"/>
  <c r="S10" i="111"/>
  <c r="R10" i="111"/>
  <c r="Q10" i="111"/>
  <c r="P10" i="111"/>
  <c r="O10" i="111"/>
  <c r="N10" i="111"/>
  <c r="M10" i="111"/>
  <c r="L10" i="111"/>
  <c r="K10" i="111"/>
  <c r="AD10" i="111" s="1"/>
  <c r="J10" i="111"/>
  <c r="I10" i="111"/>
  <c r="H10" i="111"/>
  <c r="G10" i="111"/>
  <c r="F10" i="111"/>
  <c r="E10" i="111"/>
  <c r="D10" i="111"/>
  <c r="C10" i="111"/>
  <c r="V10" i="111" s="1"/>
  <c r="S9" i="111"/>
  <c r="R9" i="111"/>
  <c r="Q9" i="111"/>
  <c r="P9" i="111"/>
  <c r="O9" i="111"/>
  <c r="N9" i="111"/>
  <c r="M9" i="111"/>
  <c r="L9" i="111"/>
  <c r="K9" i="111"/>
  <c r="AD9" i="111" s="1"/>
  <c r="J9" i="111"/>
  <c r="I9" i="111"/>
  <c r="H9" i="111"/>
  <c r="G9" i="111"/>
  <c r="F9" i="111"/>
  <c r="E9" i="111"/>
  <c r="D9" i="111"/>
  <c r="C9" i="111"/>
  <c r="V9" i="111" s="1"/>
  <c r="S8" i="111"/>
  <c r="R8" i="111"/>
  <c r="Q8" i="111"/>
  <c r="P8" i="111"/>
  <c r="O8" i="111"/>
  <c r="N8" i="111"/>
  <c r="M8" i="111"/>
  <c r="L8" i="111"/>
  <c r="K8" i="111"/>
  <c r="AD8" i="111" s="1"/>
  <c r="J8" i="111"/>
  <c r="I8" i="111"/>
  <c r="H8" i="111"/>
  <c r="G8" i="111"/>
  <c r="F8" i="111"/>
  <c r="E8" i="111"/>
  <c r="D8" i="111"/>
  <c r="C8" i="111"/>
  <c r="V8" i="111" s="1"/>
  <c r="S7" i="111"/>
  <c r="R7" i="111"/>
  <c r="Q7" i="111"/>
  <c r="P7" i="111"/>
  <c r="O7" i="111"/>
  <c r="N7" i="111"/>
  <c r="M7" i="111"/>
  <c r="L7" i="111"/>
  <c r="K7" i="111"/>
  <c r="AD7" i="111" s="1"/>
  <c r="J7" i="111"/>
  <c r="I7" i="111"/>
  <c r="H7" i="111"/>
  <c r="G7" i="111"/>
  <c r="F7" i="111"/>
  <c r="E7" i="111"/>
  <c r="D7" i="111"/>
  <c r="C7" i="111"/>
  <c r="V7" i="111" s="1"/>
  <c r="S6" i="111"/>
  <c r="R6" i="111"/>
  <c r="Q6" i="111"/>
  <c r="P6" i="111"/>
  <c r="O6" i="111"/>
  <c r="N6" i="111"/>
  <c r="M6" i="111"/>
  <c r="L6" i="111"/>
  <c r="K6" i="111"/>
  <c r="AD6" i="111" s="1"/>
  <c r="J6" i="111"/>
  <c r="I6" i="111"/>
  <c r="H6" i="111"/>
  <c r="G6" i="111"/>
  <c r="F6" i="111"/>
  <c r="E6" i="111"/>
  <c r="D6" i="111"/>
  <c r="C6" i="111"/>
  <c r="V6" i="111" s="1"/>
  <c r="T212" i="100"/>
  <c r="S212" i="100"/>
  <c r="R212" i="100"/>
  <c r="Q212" i="100"/>
  <c r="P212" i="100"/>
  <c r="O212" i="100"/>
  <c r="N212" i="100"/>
  <c r="M212" i="100"/>
  <c r="L212" i="100"/>
  <c r="K212" i="100"/>
  <c r="J212" i="100"/>
  <c r="I212" i="100"/>
  <c r="H212" i="100"/>
  <c r="G212" i="100"/>
  <c r="F212" i="100"/>
  <c r="E212" i="100"/>
  <c r="D212" i="100"/>
  <c r="T210" i="100"/>
  <c r="S210" i="100"/>
  <c r="R210" i="100"/>
  <c r="Q210" i="100"/>
  <c r="P210" i="100"/>
  <c r="O210" i="100"/>
  <c r="AJ210" i="100" s="1"/>
  <c r="N210" i="100"/>
  <c r="M210" i="100"/>
  <c r="L210" i="100"/>
  <c r="K210" i="100"/>
  <c r="J210" i="100"/>
  <c r="I210" i="100"/>
  <c r="H210" i="100"/>
  <c r="G210" i="100"/>
  <c r="AB210" i="100" s="1"/>
  <c r="F210" i="100"/>
  <c r="E210" i="100"/>
  <c r="D210" i="100"/>
  <c r="T209" i="100"/>
  <c r="S209" i="100"/>
  <c r="R209" i="100"/>
  <c r="Q209" i="100"/>
  <c r="P209" i="100"/>
  <c r="O209" i="100"/>
  <c r="N209" i="100"/>
  <c r="M209" i="100"/>
  <c r="L209" i="100"/>
  <c r="K209" i="100"/>
  <c r="J209" i="100"/>
  <c r="I209" i="100"/>
  <c r="H209" i="100"/>
  <c r="G209" i="100"/>
  <c r="F209" i="100"/>
  <c r="E209" i="100"/>
  <c r="D209" i="100"/>
  <c r="T208" i="100"/>
  <c r="S208" i="100"/>
  <c r="AN208" i="100" s="1"/>
  <c r="R208" i="100"/>
  <c r="Q208" i="100"/>
  <c r="P208" i="100"/>
  <c r="O208" i="100"/>
  <c r="N208" i="100"/>
  <c r="M208" i="100"/>
  <c r="L208" i="100"/>
  <c r="K208" i="100"/>
  <c r="AF208" i="100" s="1"/>
  <c r="J208" i="100"/>
  <c r="I208" i="100"/>
  <c r="H208" i="100"/>
  <c r="G208" i="100"/>
  <c r="F208" i="100"/>
  <c r="E208" i="100"/>
  <c r="D208" i="100"/>
  <c r="T207" i="100"/>
  <c r="S207" i="100"/>
  <c r="R207" i="100"/>
  <c r="Q207" i="100"/>
  <c r="P207" i="100"/>
  <c r="O207" i="100"/>
  <c r="N207" i="100"/>
  <c r="M207" i="100"/>
  <c r="L207" i="100"/>
  <c r="K207" i="100"/>
  <c r="J207" i="100"/>
  <c r="I207" i="100"/>
  <c r="H207" i="100"/>
  <c r="G207" i="100"/>
  <c r="F207" i="100"/>
  <c r="E207" i="100"/>
  <c r="D207" i="100"/>
  <c r="T205" i="100"/>
  <c r="S205" i="100"/>
  <c r="R205" i="100"/>
  <c r="Q205" i="100"/>
  <c r="P205" i="100"/>
  <c r="O205" i="100"/>
  <c r="N205" i="100"/>
  <c r="M205" i="100"/>
  <c r="L205" i="100"/>
  <c r="K205" i="100"/>
  <c r="J205" i="100"/>
  <c r="I205" i="100"/>
  <c r="H205" i="100"/>
  <c r="G205" i="100"/>
  <c r="F205" i="100"/>
  <c r="E205" i="100"/>
  <c r="Z205" i="100" s="1"/>
  <c r="D205" i="100"/>
  <c r="T204" i="100"/>
  <c r="E204" i="100"/>
  <c r="D204" i="100"/>
  <c r="T203" i="100"/>
  <c r="E203" i="100"/>
  <c r="D203" i="100"/>
  <c r="T202" i="100"/>
  <c r="S202" i="100"/>
  <c r="R202" i="100"/>
  <c r="Q202" i="100"/>
  <c r="P202" i="100"/>
  <c r="O202" i="100"/>
  <c r="N202" i="100"/>
  <c r="M202" i="100"/>
  <c r="L202" i="100"/>
  <c r="K202" i="100"/>
  <c r="J202" i="100"/>
  <c r="I202" i="100"/>
  <c r="H202" i="100"/>
  <c r="G202" i="100"/>
  <c r="F202" i="100"/>
  <c r="E202" i="100"/>
  <c r="D202" i="100"/>
  <c r="T200" i="100"/>
  <c r="S200" i="100"/>
  <c r="R200" i="100"/>
  <c r="Q200" i="100"/>
  <c r="P200" i="100"/>
  <c r="O200" i="100"/>
  <c r="N200" i="100"/>
  <c r="M200" i="100"/>
  <c r="L200" i="100"/>
  <c r="K200" i="100"/>
  <c r="J200" i="100"/>
  <c r="I200" i="100"/>
  <c r="H200" i="100"/>
  <c r="G200" i="100"/>
  <c r="F200" i="100"/>
  <c r="E200" i="100"/>
  <c r="Z200" i="100" s="1"/>
  <c r="D200" i="100"/>
  <c r="T199" i="100"/>
  <c r="E199" i="100"/>
  <c r="D199" i="100"/>
  <c r="T198" i="100"/>
  <c r="E198" i="100"/>
  <c r="D198" i="100"/>
  <c r="T197" i="100"/>
  <c r="S197" i="100"/>
  <c r="R197" i="100"/>
  <c r="Q197" i="100"/>
  <c r="P197" i="100"/>
  <c r="O197" i="100"/>
  <c r="N197" i="100"/>
  <c r="M197" i="100"/>
  <c r="L197" i="100"/>
  <c r="K197" i="100"/>
  <c r="J197" i="100"/>
  <c r="I197" i="100"/>
  <c r="H197" i="100"/>
  <c r="G197" i="100"/>
  <c r="F197" i="100"/>
  <c r="E197" i="100"/>
  <c r="D197" i="100"/>
  <c r="T195" i="100"/>
  <c r="S195" i="100"/>
  <c r="AN195" i="100" s="1"/>
  <c r="R195" i="100"/>
  <c r="Q195" i="100"/>
  <c r="P195" i="100"/>
  <c r="O195" i="100"/>
  <c r="N195" i="100"/>
  <c r="M195" i="100"/>
  <c r="L195" i="100"/>
  <c r="K195" i="100"/>
  <c r="AF195" i="100" s="1"/>
  <c r="J195" i="100"/>
  <c r="I195" i="100"/>
  <c r="H195" i="100"/>
  <c r="G195" i="100"/>
  <c r="F195" i="100"/>
  <c r="E195" i="100"/>
  <c r="D195" i="100"/>
  <c r="T194" i="100"/>
  <c r="S194" i="100"/>
  <c r="R194" i="100"/>
  <c r="Q194" i="100"/>
  <c r="P194" i="100"/>
  <c r="O194" i="100"/>
  <c r="N194" i="100"/>
  <c r="M194" i="100"/>
  <c r="L194" i="100"/>
  <c r="K194" i="100"/>
  <c r="J194" i="100"/>
  <c r="I194" i="100"/>
  <c r="H194" i="100"/>
  <c r="G194" i="100"/>
  <c r="F194" i="100"/>
  <c r="E194" i="100"/>
  <c r="D194" i="100"/>
  <c r="T193" i="100"/>
  <c r="S193" i="100"/>
  <c r="R193" i="100"/>
  <c r="Q193" i="100"/>
  <c r="P193" i="100"/>
  <c r="O193" i="100"/>
  <c r="N193" i="100"/>
  <c r="M193" i="100"/>
  <c r="L193" i="100"/>
  <c r="K193" i="100"/>
  <c r="J193" i="100"/>
  <c r="I193" i="100"/>
  <c r="H193" i="100"/>
  <c r="G193" i="100"/>
  <c r="F193" i="100"/>
  <c r="E193" i="100"/>
  <c r="D193" i="100"/>
  <c r="T192" i="100"/>
  <c r="S192" i="100"/>
  <c r="R192" i="100"/>
  <c r="Q192" i="100"/>
  <c r="P192" i="100"/>
  <c r="O192" i="100"/>
  <c r="N192" i="100"/>
  <c r="M192" i="100"/>
  <c r="L192" i="100"/>
  <c r="K192" i="100"/>
  <c r="J192" i="100"/>
  <c r="I192" i="100"/>
  <c r="H192" i="100"/>
  <c r="G192" i="100"/>
  <c r="F192" i="100"/>
  <c r="E192" i="100"/>
  <c r="D192" i="100"/>
  <c r="T190" i="100"/>
  <c r="S190" i="100"/>
  <c r="R190" i="100"/>
  <c r="Q190" i="100"/>
  <c r="P190" i="100"/>
  <c r="O190" i="100"/>
  <c r="AJ190" i="100" s="1"/>
  <c r="N190" i="100"/>
  <c r="M190" i="100"/>
  <c r="L190" i="100"/>
  <c r="K190" i="100"/>
  <c r="J190" i="100"/>
  <c r="I190" i="100"/>
  <c r="H190" i="100"/>
  <c r="G190" i="100"/>
  <c r="AB190" i="100" s="1"/>
  <c r="F190" i="100"/>
  <c r="E190" i="100"/>
  <c r="D190" i="100"/>
  <c r="T189" i="100"/>
  <c r="S189" i="100"/>
  <c r="R189" i="100"/>
  <c r="Q189" i="100"/>
  <c r="P189" i="100"/>
  <c r="O189" i="100"/>
  <c r="N189" i="100"/>
  <c r="M189" i="100"/>
  <c r="L189" i="100"/>
  <c r="K189" i="100"/>
  <c r="J189" i="100"/>
  <c r="I189" i="100"/>
  <c r="H189" i="100"/>
  <c r="G189" i="100"/>
  <c r="F189" i="100"/>
  <c r="E189" i="100"/>
  <c r="D189" i="100"/>
  <c r="T188" i="100"/>
  <c r="S188" i="100"/>
  <c r="R188" i="100"/>
  <c r="Q188" i="100"/>
  <c r="P188" i="100"/>
  <c r="O188" i="100"/>
  <c r="N188" i="100"/>
  <c r="M188" i="100"/>
  <c r="L188" i="100"/>
  <c r="K188" i="100"/>
  <c r="J188" i="100"/>
  <c r="I188" i="100"/>
  <c r="H188" i="100"/>
  <c r="G188" i="100"/>
  <c r="F188" i="100"/>
  <c r="E188" i="100"/>
  <c r="D188" i="100"/>
  <c r="T187" i="100"/>
  <c r="S187" i="100"/>
  <c r="R187" i="100"/>
  <c r="Q187" i="100"/>
  <c r="P187" i="100"/>
  <c r="O187" i="100"/>
  <c r="N187" i="100"/>
  <c r="M187" i="100"/>
  <c r="L187" i="100"/>
  <c r="K187" i="100"/>
  <c r="J187" i="100"/>
  <c r="I187" i="100"/>
  <c r="H187" i="100"/>
  <c r="G187" i="100"/>
  <c r="F187" i="100"/>
  <c r="E187" i="100"/>
  <c r="D187" i="100"/>
  <c r="T185" i="100"/>
  <c r="S185" i="100"/>
  <c r="AN185" i="100" s="1"/>
  <c r="R185" i="100"/>
  <c r="Q185" i="100"/>
  <c r="P185" i="100"/>
  <c r="O185" i="100"/>
  <c r="N185" i="100"/>
  <c r="M185" i="100"/>
  <c r="L185" i="100"/>
  <c r="K185" i="100"/>
  <c r="AF185" i="100" s="1"/>
  <c r="J185" i="100"/>
  <c r="I185" i="100"/>
  <c r="H185" i="100"/>
  <c r="G185" i="100"/>
  <c r="F185" i="100"/>
  <c r="E185" i="100"/>
  <c r="D185" i="100"/>
  <c r="T184" i="100"/>
  <c r="S184" i="100"/>
  <c r="R184" i="100"/>
  <c r="Q184" i="100"/>
  <c r="P184" i="100"/>
  <c r="O184" i="100"/>
  <c r="N184" i="100"/>
  <c r="M184" i="100"/>
  <c r="L184" i="100"/>
  <c r="K184" i="100"/>
  <c r="J184" i="100"/>
  <c r="I184" i="100"/>
  <c r="H184" i="100"/>
  <c r="G184" i="100"/>
  <c r="F184" i="100"/>
  <c r="E184" i="100"/>
  <c r="D184" i="100"/>
  <c r="T183" i="100"/>
  <c r="S183" i="100"/>
  <c r="R183" i="100"/>
  <c r="Q183" i="100"/>
  <c r="P183" i="100"/>
  <c r="O183" i="100"/>
  <c r="N183" i="100"/>
  <c r="M183" i="100"/>
  <c r="L183" i="100"/>
  <c r="K183" i="100"/>
  <c r="J183" i="100"/>
  <c r="I183" i="100"/>
  <c r="H183" i="100"/>
  <c r="G183" i="100"/>
  <c r="F183" i="100"/>
  <c r="E183" i="100"/>
  <c r="D183" i="100"/>
  <c r="T182" i="100"/>
  <c r="S182" i="100"/>
  <c r="R182" i="100"/>
  <c r="Q182" i="100"/>
  <c r="P182" i="100"/>
  <c r="O182" i="100"/>
  <c r="N182" i="100"/>
  <c r="M182" i="100"/>
  <c r="L182" i="100"/>
  <c r="K182" i="100"/>
  <c r="J182" i="100"/>
  <c r="I182" i="100"/>
  <c r="H182" i="100"/>
  <c r="G182" i="100"/>
  <c r="F182" i="100"/>
  <c r="E182" i="100"/>
  <c r="D182" i="100"/>
  <c r="T180" i="100"/>
  <c r="S180" i="100"/>
  <c r="R180" i="100"/>
  <c r="Q180" i="100"/>
  <c r="P180" i="100"/>
  <c r="O180" i="100"/>
  <c r="AJ180" i="100" s="1"/>
  <c r="N180" i="100"/>
  <c r="M180" i="100"/>
  <c r="L180" i="100"/>
  <c r="K180" i="100"/>
  <c r="J180" i="100"/>
  <c r="I180" i="100"/>
  <c r="H180" i="100"/>
  <c r="G180" i="100"/>
  <c r="AB180" i="100" s="1"/>
  <c r="F180" i="100"/>
  <c r="E180" i="100"/>
  <c r="D180" i="100"/>
  <c r="T179" i="100"/>
  <c r="S179" i="100"/>
  <c r="R179" i="100"/>
  <c r="Q179" i="100"/>
  <c r="P179" i="100"/>
  <c r="O179" i="100"/>
  <c r="N179" i="100"/>
  <c r="M179" i="100"/>
  <c r="L179" i="100"/>
  <c r="K179" i="100"/>
  <c r="J179" i="100"/>
  <c r="I179" i="100"/>
  <c r="H179" i="100"/>
  <c r="G179" i="100"/>
  <c r="F179" i="100"/>
  <c r="E179" i="100"/>
  <c r="D179" i="100"/>
  <c r="T178" i="100"/>
  <c r="S178" i="100"/>
  <c r="R178" i="100"/>
  <c r="Q178" i="100"/>
  <c r="P178" i="100"/>
  <c r="O178" i="100"/>
  <c r="N178" i="100"/>
  <c r="M178" i="100"/>
  <c r="L178" i="100"/>
  <c r="K178" i="100"/>
  <c r="J178" i="100"/>
  <c r="I178" i="100"/>
  <c r="H178" i="100"/>
  <c r="G178" i="100"/>
  <c r="F178" i="100"/>
  <c r="E178" i="100"/>
  <c r="D178" i="100"/>
  <c r="T177" i="100"/>
  <c r="S177" i="100"/>
  <c r="R177" i="100"/>
  <c r="Q177" i="100"/>
  <c r="P177" i="100"/>
  <c r="O177" i="100"/>
  <c r="N177" i="100"/>
  <c r="M177" i="100"/>
  <c r="L177" i="100"/>
  <c r="K177" i="100"/>
  <c r="J177" i="100"/>
  <c r="I177" i="100"/>
  <c r="H177" i="100"/>
  <c r="G177" i="100"/>
  <c r="F177" i="100"/>
  <c r="E177" i="100"/>
  <c r="D177" i="100"/>
  <c r="T175" i="100"/>
  <c r="S175" i="100"/>
  <c r="AN175" i="100" s="1"/>
  <c r="R175" i="100"/>
  <c r="Q175" i="100"/>
  <c r="P175" i="100"/>
  <c r="O175" i="100"/>
  <c r="N175" i="100"/>
  <c r="M175" i="100"/>
  <c r="L175" i="100"/>
  <c r="K175" i="100"/>
  <c r="AF175" i="100" s="1"/>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0" i="100"/>
  <c r="S170" i="100"/>
  <c r="R170" i="100"/>
  <c r="Q170" i="100"/>
  <c r="P170" i="100"/>
  <c r="O170" i="100"/>
  <c r="AJ170" i="100" s="1"/>
  <c r="N170" i="100"/>
  <c r="M170" i="100"/>
  <c r="L170" i="100"/>
  <c r="K170" i="100"/>
  <c r="J170" i="100"/>
  <c r="I170" i="100"/>
  <c r="H170" i="100"/>
  <c r="G170" i="100"/>
  <c r="AB170" i="100" s="1"/>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S167" i="100"/>
  <c r="R167" i="100"/>
  <c r="Q167" i="100"/>
  <c r="P167" i="100"/>
  <c r="O167" i="100"/>
  <c r="N167" i="100"/>
  <c r="M167" i="100"/>
  <c r="L167" i="100"/>
  <c r="K167" i="100"/>
  <c r="J167" i="100"/>
  <c r="I167" i="100"/>
  <c r="H167" i="100"/>
  <c r="G167" i="100"/>
  <c r="F167" i="100"/>
  <c r="E167" i="100"/>
  <c r="D167" i="100"/>
  <c r="T165" i="100"/>
  <c r="S165" i="100"/>
  <c r="AN165" i="100" s="1"/>
  <c r="R165" i="100"/>
  <c r="Q165" i="100"/>
  <c r="P165" i="100"/>
  <c r="O165" i="100"/>
  <c r="N165" i="100"/>
  <c r="M165" i="100"/>
  <c r="L165" i="100"/>
  <c r="K165" i="100"/>
  <c r="AF165" i="100" s="1"/>
  <c r="J165" i="100"/>
  <c r="I165" i="100"/>
  <c r="H165" i="100"/>
  <c r="G165" i="100"/>
  <c r="F165" i="100"/>
  <c r="E165" i="100"/>
  <c r="D165" i="100"/>
  <c r="T164" i="100"/>
  <c r="S164" i="100"/>
  <c r="R164" i="100"/>
  <c r="Q164" i="100"/>
  <c r="P164" i="100"/>
  <c r="O164" i="100"/>
  <c r="N164" i="100"/>
  <c r="M164" i="100"/>
  <c r="L164" i="100"/>
  <c r="K164" i="100"/>
  <c r="J164" i="100"/>
  <c r="I164" i="100"/>
  <c r="H164" i="100"/>
  <c r="G164" i="100"/>
  <c r="F164" i="100"/>
  <c r="E164" i="100"/>
  <c r="D164" i="100"/>
  <c r="T163" i="100"/>
  <c r="S163" i="100"/>
  <c r="R163" i="100"/>
  <c r="Q163" i="100"/>
  <c r="P163" i="100"/>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T160" i="100"/>
  <c r="S160" i="100"/>
  <c r="R160" i="100"/>
  <c r="Q160" i="100"/>
  <c r="P160" i="100"/>
  <c r="O160" i="100"/>
  <c r="AJ160" i="100" s="1"/>
  <c r="N160" i="100"/>
  <c r="M160" i="100"/>
  <c r="L160" i="100"/>
  <c r="K160" i="100"/>
  <c r="J160" i="100"/>
  <c r="I160" i="100"/>
  <c r="H160" i="100"/>
  <c r="G160" i="100"/>
  <c r="AB160" i="100" s="1"/>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F158" i="100"/>
  <c r="E158" i="100"/>
  <c r="D158" i="100"/>
  <c r="T157" i="100"/>
  <c r="S157" i="100"/>
  <c r="R157" i="100"/>
  <c r="Q157" i="100"/>
  <c r="P157" i="100"/>
  <c r="O157" i="100"/>
  <c r="N157" i="100"/>
  <c r="M157" i="100"/>
  <c r="L157" i="100"/>
  <c r="K157" i="100"/>
  <c r="J157" i="100"/>
  <c r="I157" i="100"/>
  <c r="H157" i="100"/>
  <c r="G157" i="100"/>
  <c r="F157" i="100"/>
  <c r="E157" i="100"/>
  <c r="D157" i="100"/>
  <c r="T155" i="100"/>
  <c r="S155" i="100"/>
  <c r="AN155" i="100" s="1"/>
  <c r="R155" i="100"/>
  <c r="Q155" i="100"/>
  <c r="P155" i="100"/>
  <c r="O155" i="100"/>
  <c r="N155" i="100"/>
  <c r="M155" i="100"/>
  <c r="L155" i="100"/>
  <c r="K155" i="100"/>
  <c r="AF155" i="100" s="1"/>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0" i="100"/>
  <c r="S150" i="100"/>
  <c r="R150" i="100"/>
  <c r="Q150" i="100"/>
  <c r="P150" i="100"/>
  <c r="O150" i="100"/>
  <c r="AJ150" i="100" s="1"/>
  <c r="N150" i="100"/>
  <c r="M150" i="100"/>
  <c r="L150" i="100"/>
  <c r="K150" i="100"/>
  <c r="J150" i="100"/>
  <c r="I150" i="100"/>
  <c r="H150" i="100"/>
  <c r="G150" i="100"/>
  <c r="AB150" i="100" s="1"/>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2" i="100"/>
  <c r="S142" i="100" a="1"/>
  <c r="S142" i="100" s="1"/>
  <c r="R142" i="100" a="1"/>
  <c r="R142" i="100" s="1"/>
  <c r="Q142" i="100" a="1"/>
  <c r="Q142" i="100" s="1"/>
  <c r="P142" i="100" a="1"/>
  <c r="P142" i="100" s="1"/>
  <c r="O142" i="100" a="1"/>
  <c r="O142" i="100" s="1"/>
  <c r="N142" i="100" a="1"/>
  <c r="N142" i="100" s="1"/>
  <c r="M142" i="100" a="1"/>
  <c r="M142" i="100" s="1"/>
  <c r="L142" i="100" a="1"/>
  <c r="L142" i="100" s="1"/>
  <c r="K142" i="100" a="1"/>
  <c r="K142" i="100" s="1"/>
  <c r="J142" i="100" a="1"/>
  <c r="J142" i="100" s="1"/>
  <c r="I142" i="100" a="1"/>
  <c r="I142" i="100" s="1"/>
  <c r="H142" i="100" a="1"/>
  <c r="H142" i="100" s="1"/>
  <c r="G142" i="100" a="1"/>
  <c r="G142" i="100" s="1"/>
  <c r="F142" i="100" a="1"/>
  <c r="F142" i="100" s="1"/>
  <c r="E142" i="100" a="1"/>
  <c r="E142" i="100" s="1"/>
  <c r="D142" i="100" a="1"/>
  <c r="D142" i="100" s="1"/>
  <c r="T140" i="100"/>
  <c r="S140" i="100"/>
  <c r="R140" i="100"/>
  <c r="Q140" i="100"/>
  <c r="P140" i="100"/>
  <c r="O140" i="100"/>
  <c r="N140" i="100"/>
  <c r="M140" i="100"/>
  <c r="L140" i="100"/>
  <c r="K140" i="100"/>
  <c r="J140" i="100"/>
  <c r="I140" i="100"/>
  <c r="H140" i="100"/>
  <c r="G140" i="100"/>
  <c r="F140" i="100"/>
  <c r="E140" i="100"/>
  <c r="D140" i="100"/>
  <c r="T139" i="100"/>
  <c r="S139" i="100" a="1"/>
  <c r="S139" i="100" s="1"/>
  <c r="R139" i="100" a="1"/>
  <c r="R139" i="100" s="1"/>
  <c r="Q139" i="100" a="1"/>
  <c r="Q139" i="100" s="1"/>
  <c r="P139" i="100" a="1"/>
  <c r="P139" i="100" s="1"/>
  <c r="O139" i="100" a="1"/>
  <c r="O139" i="100" s="1"/>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E139" i="100" a="1"/>
  <c r="E139" i="100" s="1"/>
  <c r="D139" i="100" a="1"/>
  <c r="D139" i="100" s="1"/>
  <c r="T138" i="100"/>
  <c r="S138" i="100" a="1"/>
  <c r="S138" i="100" s="1"/>
  <c r="R138" i="100" a="1"/>
  <c r="R138" i="100" s="1"/>
  <c r="Q138" i="100" a="1"/>
  <c r="Q138" i="100" s="1"/>
  <c r="P138" i="100" a="1"/>
  <c r="P138" i="100" s="1"/>
  <c r="O138" i="100" a="1"/>
  <c r="O138" i="100" s="1"/>
  <c r="N138" i="100" a="1"/>
  <c r="N138" i="100" s="1"/>
  <c r="M138" i="100" a="1"/>
  <c r="M138" i="100" s="1"/>
  <c r="L138" i="100" a="1"/>
  <c r="L138" i="100" s="1"/>
  <c r="K138" i="100" a="1"/>
  <c r="K138" i="100" s="1"/>
  <c r="J138" i="100" a="1"/>
  <c r="J138" i="100" s="1"/>
  <c r="I138" i="100" a="1"/>
  <c r="I138" i="100" s="1"/>
  <c r="H138" i="100" a="1"/>
  <c r="H138" i="100" s="1"/>
  <c r="G138" i="100" a="1"/>
  <c r="G138" i="100" s="1"/>
  <c r="F138" i="100" a="1"/>
  <c r="F138" i="100" s="1"/>
  <c r="E138" i="100" a="1"/>
  <c r="E138" i="100" s="1"/>
  <c r="D138" i="100" a="1"/>
  <c r="D138" i="100" s="1"/>
  <c r="T137" i="100"/>
  <c r="S137" i="100" a="1"/>
  <c r="S137" i="100" s="1"/>
  <c r="R137" i="100" a="1"/>
  <c r="R137" i="100" s="1"/>
  <c r="Q137" i="100" a="1"/>
  <c r="Q137" i="100" s="1"/>
  <c r="P137" i="100" a="1"/>
  <c r="P137" i="100" s="1"/>
  <c r="O137" i="100" a="1"/>
  <c r="O137" i="100" s="1"/>
  <c r="N137" i="100" a="1"/>
  <c r="N137" i="100" s="1"/>
  <c r="M137" i="100" a="1"/>
  <c r="M137" i="100" s="1"/>
  <c r="L137" i="100" a="1"/>
  <c r="L137" i="100" s="1"/>
  <c r="K137" i="100" a="1"/>
  <c r="K137" i="100" s="1"/>
  <c r="J137" i="100" a="1"/>
  <c r="J137" i="100" s="1"/>
  <c r="I137" i="100" a="1"/>
  <c r="I137" i="100" s="1"/>
  <c r="H137" i="100" a="1"/>
  <c r="H137" i="100" s="1"/>
  <c r="G137" i="100" a="1"/>
  <c r="G137" i="100" s="1"/>
  <c r="F137" i="100" a="1"/>
  <c r="F137" i="100" s="1"/>
  <c r="E137" i="100" a="1"/>
  <c r="E137" i="100" s="1"/>
  <c r="D137" i="100" a="1"/>
  <c r="D137"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J133" i="100" a="1"/>
  <c r="J133" i="100" s="1"/>
  <c r="I133" i="100" a="1"/>
  <c r="I133" i="100" s="1"/>
  <c r="H133" i="100" a="1"/>
  <c r="H133" i="100" s="1"/>
  <c r="G133" i="100" a="1"/>
  <c r="G133" i="100" s="1"/>
  <c r="F133" i="100" a="1"/>
  <c r="F133" i="100" s="1"/>
  <c r="E133" i="100" a="1"/>
  <c r="E133" i="100" s="1"/>
  <c r="D133" i="100" a="1"/>
  <c r="D133" i="100" s="1"/>
  <c r="T132" i="100"/>
  <c r="S132" i="100" a="1"/>
  <c r="S132" i="100" s="1"/>
  <c r="R132" i="100" a="1"/>
  <c r="R132" i="100" s="1"/>
  <c r="Q132" i="100" a="1"/>
  <c r="Q132" i="100" s="1"/>
  <c r="P132" i="100" a="1"/>
  <c r="P132" i="100" s="1"/>
  <c r="O132" i="100" a="1"/>
  <c r="O132" i="100" s="1"/>
  <c r="N132" i="100" a="1"/>
  <c r="N132" i="100" s="1"/>
  <c r="M132" i="100" a="1"/>
  <c r="M132" i="100" s="1"/>
  <c r="L132" i="100" a="1"/>
  <c r="L132" i="100" s="1"/>
  <c r="K132" i="100" a="1"/>
  <c r="K132" i="100" s="1"/>
  <c r="J132" i="100" a="1"/>
  <c r="J132" i="100" s="1"/>
  <c r="I132" i="100" a="1"/>
  <c r="I132" i="100" s="1"/>
  <c r="H132" i="100" a="1"/>
  <c r="H132" i="100" s="1"/>
  <c r="G132" i="100" a="1"/>
  <c r="G132" i="100" s="1"/>
  <c r="F132" i="100" a="1"/>
  <c r="F132" i="100" s="1"/>
  <c r="E132" i="100" a="1"/>
  <c r="E132" i="100" s="1"/>
  <c r="D132" i="100" a="1"/>
  <c r="D132" i="100" s="1"/>
  <c r="T130" i="100" a="1"/>
  <c r="T130" i="100" s="1"/>
  <c r="S130" i="100" a="1"/>
  <c r="S130" i="100" s="1"/>
  <c r="R130" i="100" a="1"/>
  <c r="R130" i="100" s="1"/>
  <c r="Q130" i="100" a="1"/>
  <c r="Q130" i="100" s="1"/>
  <c r="P130" i="100" a="1"/>
  <c r="P130" i="100" s="1"/>
  <c r="O130" i="100" a="1"/>
  <c r="O130" i="100" s="1"/>
  <c r="N130" i="100" a="1"/>
  <c r="N130" i="100" s="1"/>
  <c r="M130" i="100" a="1"/>
  <c r="M130" i="100" s="1"/>
  <c r="L130" i="100" a="1"/>
  <c r="L130" i="100" s="1"/>
  <c r="K130" i="100" a="1"/>
  <c r="K130" i="100" s="1"/>
  <c r="J130" i="100" a="1"/>
  <c r="J130" i="100" s="1"/>
  <c r="I130" i="100" a="1"/>
  <c r="I130" i="100" s="1"/>
  <c r="H130" i="100" a="1"/>
  <c r="H130" i="100" s="1"/>
  <c r="G130" i="100" a="1"/>
  <c r="G130" i="100" s="1"/>
  <c r="F130" i="100" a="1"/>
  <c r="F130" i="100" s="1"/>
  <c r="E130" i="100" a="1"/>
  <c r="E130" i="100" s="1"/>
  <c r="D130" i="100" a="1"/>
  <c r="D130" i="100" s="1"/>
  <c r="T129" i="100" a="1"/>
  <c r="T129" i="100" s="1"/>
  <c r="S129" i="100" a="1"/>
  <c r="S129" i="100" s="1"/>
  <c r="R129" i="100" a="1"/>
  <c r="R129" i="100" s="1"/>
  <c r="Q129" i="100" a="1"/>
  <c r="Q129" i="100" s="1"/>
  <c r="P129" i="100" a="1"/>
  <c r="P129" i="100" s="1"/>
  <c r="O129" i="100" a="1"/>
  <c r="O129" i="100" s="1"/>
  <c r="N129" i="100" a="1"/>
  <c r="N129" i="100" s="1"/>
  <c r="M129" i="100" a="1"/>
  <c r="M129" i="100" s="1"/>
  <c r="L129" i="100" a="1"/>
  <c r="L129" i="100" s="1"/>
  <c r="K129" i="100" a="1"/>
  <c r="K129" i="100" s="1"/>
  <c r="J129" i="100" a="1"/>
  <c r="J129" i="100" s="1"/>
  <c r="I129" i="100" a="1"/>
  <c r="I129" i="100" s="1"/>
  <c r="H129" i="100" a="1"/>
  <c r="H129" i="100" s="1"/>
  <c r="G129" i="100" a="1"/>
  <c r="G129" i="100" s="1"/>
  <c r="F129" i="100" a="1"/>
  <c r="F129" i="100" s="1"/>
  <c r="E129" i="100" a="1"/>
  <c r="E129" i="100" s="1"/>
  <c r="D129" i="100" a="1"/>
  <c r="D129" i="100" s="1"/>
  <c r="T128" i="100" a="1"/>
  <c r="T128" i="100" s="1"/>
  <c r="S128" i="100" a="1"/>
  <c r="S128" i="100" s="1"/>
  <c r="R128" i="100" a="1"/>
  <c r="R128" i="100" s="1"/>
  <c r="Q128" i="100" a="1"/>
  <c r="Q128" i="100" s="1"/>
  <c r="P128" i="100" a="1"/>
  <c r="P128" i="100" s="1"/>
  <c r="O128" i="100" a="1"/>
  <c r="O128" i="100" s="1"/>
  <c r="N128" i="100" a="1"/>
  <c r="N128" i="100" s="1"/>
  <c r="M128" i="100" a="1"/>
  <c r="M128" i="100" s="1"/>
  <c r="L128" i="100" a="1"/>
  <c r="L128" i="100" s="1"/>
  <c r="K128" i="100" a="1"/>
  <c r="K128" i="100" s="1"/>
  <c r="J128" i="100" a="1"/>
  <c r="J128" i="100" s="1"/>
  <c r="I128" i="100" a="1"/>
  <c r="I128" i="100" s="1"/>
  <c r="H128" i="100" a="1"/>
  <c r="H128" i="100" s="1"/>
  <c r="G128" i="100" a="1"/>
  <c r="G128" i="100" s="1"/>
  <c r="F128" i="100" a="1"/>
  <c r="F128" i="100" s="1"/>
  <c r="E128" i="100" a="1"/>
  <c r="E128" i="100" s="1"/>
  <c r="D128" i="100" a="1"/>
  <c r="D128" i="100" s="1"/>
  <c r="T127" i="100"/>
  <c r="S127" i="100" a="1"/>
  <c r="S127" i="100" s="1"/>
  <c r="R127" i="100" a="1"/>
  <c r="R127" i="100" s="1"/>
  <c r="Q127" i="100" a="1"/>
  <c r="Q127" i="100" s="1"/>
  <c r="P127" i="100" a="1"/>
  <c r="P127" i="100" s="1"/>
  <c r="O127" i="100" a="1"/>
  <c r="O127" i="100" s="1"/>
  <c r="N127" i="100" a="1"/>
  <c r="N127" i="100" s="1"/>
  <c r="M127" i="100" a="1"/>
  <c r="M127" i="100" s="1"/>
  <c r="L127" i="100" a="1"/>
  <c r="L127" i="100" s="1"/>
  <c r="K127" i="100" a="1"/>
  <c r="K127" i="100" s="1"/>
  <c r="J127" i="100" a="1"/>
  <c r="J127" i="100" s="1"/>
  <c r="I127" i="100" a="1"/>
  <c r="I127" i="100" s="1"/>
  <c r="H127" i="100" a="1"/>
  <c r="H127" i="100" s="1"/>
  <c r="G127" i="100" a="1"/>
  <c r="G127" i="100" s="1"/>
  <c r="F127" i="100" a="1"/>
  <c r="F127" i="100" s="1"/>
  <c r="E127" i="100" a="1"/>
  <c r="E127" i="100" s="1"/>
  <c r="D127" i="100" a="1"/>
  <c r="D127" i="100" s="1"/>
  <c r="T125" i="100" a="1"/>
  <c r="T125" i="100" s="1"/>
  <c r="S125" i="100" a="1"/>
  <c r="S125" i="100" s="1"/>
  <c r="R125" i="100" a="1"/>
  <c r="R125" i="100" s="1"/>
  <c r="Q125" i="100" a="1"/>
  <c r="Q125" i="100" s="1"/>
  <c r="P125" i="100" a="1"/>
  <c r="P125" i="100" s="1"/>
  <c r="O125" i="100" a="1"/>
  <c r="O125" i="100" s="1"/>
  <c r="N125" i="100" a="1"/>
  <c r="N125" i="100" s="1"/>
  <c r="M125" i="100" a="1"/>
  <c r="M125" i="100" s="1"/>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s="1"/>
  <c r="S123" i="100" a="1"/>
  <c r="S123" i="100" s="1"/>
  <c r="R123" i="100" a="1"/>
  <c r="R123" i="100" s="1"/>
  <c r="Q123" i="100" a="1"/>
  <c r="Q123" i="100" s="1"/>
  <c r="P123" i="100" a="1"/>
  <c r="P123" i="100" s="1"/>
  <c r="O123" i="100" a="1"/>
  <c r="O123" i="100" s="1"/>
  <c r="N123" i="100" a="1"/>
  <c r="N123" i="100" s="1"/>
  <c r="M123" i="100" a="1"/>
  <c r="M123" i="100" s="1"/>
  <c r="L123" i="100" a="1"/>
  <c r="L123" i="100" s="1"/>
  <c r="K123" i="100" a="1"/>
  <c r="K123" i="100" s="1"/>
  <c r="J123" i="100" a="1"/>
  <c r="J123" i="100" s="1"/>
  <c r="I123" i="100" a="1"/>
  <c r="I123" i="100" s="1"/>
  <c r="H123" i="100" a="1"/>
  <c r="H123" i="100" s="1"/>
  <c r="G123" i="100" a="1"/>
  <c r="G123" i="100" s="1"/>
  <c r="F123" i="100" a="1"/>
  <c r="F123" i="100" s="1"/>
  <c r="E123" i="100" a="1"/>
  <c r="E123" i="100" s="1"/>
  <c r="D123" i="100" a="1"/>
  <c r="D123" i="100" s="1"/>
  <c r="T122" i="100" a="1"/>
  <c r="T122" i="100" s="1"/>
  <c r="S122" i="100" a="1"/>
  <c r="S122" i="100" s="1"/>
  <c r="R122" i="100" a="1"/>
  <c r="R122" i="100" s="1"/>
  <c r="Q122" i="100" a="1"/>
  <c r="Q122" i="100" s="1"/>
  <c r="P122" i="100" a="1"/>
  <c r="P122" i="100" s="1"/>
  <c r="O122" i="100" a="1"/>
  <c r="O122" i="100" s="1"/>
  <c r="N122" i="100" a="1"/>
  <c r="N122" i="100" s="1"/>
  <c r="M122" i="100" a="1"/>
  <c r="M122" i="100" s="1"/>
  <c r="L122" i="100" a="1"/>
  <c r="L122" i="100" s="1"/>
  <c r="K122" i="100" a="1"/>
  <c r="K122" i="100" s="1"/>
  <c r="J122" i="100" a="1"/>
  <c r="J122" i="100" s="1"/>
  <c r="I122" i="100" a="1"/>
  <c r="I122" i="100" s="1"/>
  <c r="H122" i="100" a="1"/>
  <c r="H122" i="100" s="1"/>
  <c r="G122" i="100" a="1"/>
  <c r="G122" i="100" s="1"/>
  <c r="F122" i="100" a="1"/>
  <c r="F122" i="100" s="1"/>
  <c r="E122" i="100" a="1"/>
  <c r="E122" i="100" s="1"/>
  <c r="D122" i="100" a="1"/>
  <c r="D122"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R117" i="100" a="1"/>
  <c r="R117" i="100" s="1"/>
  <c r="Q117" i="100" a="1"/>
  <c r="Q117" i="100" s="1"/>
  <c r="P117" i="100" a="1"/>
  <c r="P117" i="100" s="1"/>
  <c r="O117" i="100" a="1"/>
  <c r="O117" i="100" s="1"/>
  <c r="N117" i="100" a="1"/>
  <c r="N117" i="100" s="1"/>
  <c r="M117" i="100" a="1"/>
  <c r="M117" i="100" s="1"/>
  <c r="L117" i="100" a="1"/>
  <c r="L117" i="100" s="1"/>
  <c r="K117" i="100" a="1"/>
  <c r="K117" i="100" s="1"/>
  <c r="J117" i="100" a="1"/>
  <c r="J117" i="100" s="1"/>
  <c r="I117" i="100" a="1"/>
  <c r="I117" i="100" s="1"/>
  <c r="H117" i="100" a="1"/>
  <c r="H117" i="100" s="1"/>
  <c r="G117" i="100" a="1"/>
  <c r="G117" i="100" s="1"/>
  <c r="F117" i="100" a="1"/>
  <c r="F117" i="100" s="1"/>
  <c r="E117" i="100" a="1"/>
  <c r="E117" i="100" s="1"/>
  <c r="D117" i="100" a="1"/>
  <c r="D117" i="100" s="1"/>
  <c r="T115" i="100" a="1"/>
  <c r="T115" i="100" s="1"/>
  <c r="S115" i="100" a="1"/>
  <c r="S115" i="100" s="1"/>
  <c r="R115" i="100" a="1"/>
  <c r="R115" i="100" s="1"/>
  <c r="Q115" i="100" a="1"/>
  <c r="Q115" i="100" s="1"/>
  <c r="P115" i="100" a="1"/>
  <c r="P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Q112" i="100" a="1"/>
  <c r="Q112"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T110" i="100" a="1"/>
  <c r="T110" i="100" s="1"/>
  <c r="S110" i="100"/>
  <c r="R110" i="100"/>
  <c r="Q110" i="100"/>
  <c r="P110" i="100"/>
  <c r="O110" i="100"/>
  <c r="N110" i="100"/>
  <c r="M110" i="100"/>
  <c r="L110" i="100"/>
  <c r="K110" i="100"/>
  <c r="J110" i="100"/>
  <c r="I110" i="100"/>
  <c r="G110" i="100"/>
  <c r="F110" i="100"/>
  <c r="E110" i="100"/>
  <c r="D110" i="100"/>
  <c r="S109" i="100" a="1"/>
  <c r="S109" i="100" s="1"/>
  <c r="R109" i="100" a="1"/>
  <c r="R109" i="100" s="1"/>
  <c r="Q109" i="100" a="1"/>
  <c r="Q109" i="100" s="1"/>
  <c r="P109" i="100" a="1"/>
  <c r="P109" i="100" s="1"/>
  <c r="O109" i="100" a="1"/>
  <c r="O109" i="100" s="1"/>
  <c r="N109" i="100" a="1"/>
  <c r="N109" i="100" s="1"/>
  <c r="M109" i="100" a="1"/>
  <c r="M109" i="100" s="1"/>
  <c r="L109" i="100" a="1"/>
  <c r="L109" i="100" s="1"/>
  <c r="K109" i="100" a="1"/>
  <c r="K109" i="100" s="1"/>
  <c r="J109" i="100" a="1"/>
  <c r="J109" i="100" s="1"/>
  <c r="I109" i="100" a="1"/>
  <c r="I109" i="100" s="1"/>
  <c r="G109" i="100" a="1"/>
  <c r="G109" i="100" s="1"/>
  <c r="F109" i="100" a="1"/>
  <c r="F109" i="100" s="1"/>
  <c r="E109" i="100" a="1"/>
  <c r="E109" i="100" s="1"/>
  <c r="D109" i="100" a="1"/>
  <c r="D109" i="100" s="1"/>
  <c r="S108" i="100" a="1"/>
  <c r="S108" i="100" s="1"/>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s="1"/>
  <c r="T107" i="100"/>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Q104" i="100" a="1"/>
  <c r="Q104" i="100" s="1"/>
  <c r="P104" i="100" a="1"/>
  <c r="P104" i="100" s="1"/>
  <c r="O104" i="100" a="1"/>
  <c r="O104" i="100" s="1"/>
  <c r="N104" i="100" a="1"/>
  <c r="N104" i="100" s="1"/>
  <c r="M104" i="100" a="1"/>
  <c r="M104" i="100" s="1"/>
  <c r="L104" i="100" a="1"/>
  <c r="L104" i="100" s="1"/>
  <c r="K104" i="100" a="1"/>
  <c r="K104" i="100" s="1"/>
  <c r="J104" i="100" a="1"/>
  <c r="J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F103" i="100" a="1"/>
  <c r="F103" i="100" s="1"/>
  <c r="E103" i="100" a="1"/>
  <c r="E103" i="100" s="1"/>
  <c r="D103" i="100" a="1"/>
  <c r="D103" i="100" s="1"/>
  <c r="T102" i="100"/>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s="1"/>
  <c r="G102" i="100" a="1"/>
  <c r="G102" i="100" s="1"/>
  <c r="F102" i="100" a="1"/>
  <c r="F102" i="100" s="1"/>
  <c r="E102" i="100" a="1"/>
  <c r="E102" i="100" s="1"/>
  <c r="D102" i="100" a="1"/>
  <c r="D102"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s="1"/>
  <c r="M99" i="100" a="1"/>
  <c r="M99" i="100" s="1"/>
  <c r="L99" i="100" a="1"/>
  <c r="L99" i="100" s="1"/>
  <c r="K99" i="100" a="1"/>
  <c r="K99" i="100" s="1"/>
  <c r="J99" i="100" a="1"/>
  <c r="J99" i="100" s="1"/>
  <c r="I99" i="100" a="1"/>
  <c r="I99" i="100" s="1"/>
  <c r="H99" i="100" a="1"/>
  <c r="H99" i="100" s="1"/>
  <c r="G99" i="100" a="1"/>
  <c r="G99" i="100" s="1"/>
  <c r="F99" i="100" a="1"/>
  <c r="F99" i="100" s="1"/>
  <c r="E99" i="100" a="1"/>
  <c r="E99" i="100" s="1"/>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s="1"/>
  <c r="E98" i="100" a="1"/>
  <c r="E98" i="100" s="1"/>
  <c r="D98" i="100" a="1"/>
  <c r="D98" i="100" s="1"/>
  <c r="T97" i="100"/>
  <c r="S97" i="100" a="1"/>
  <c r="S97" i="100" s="1"/>
  <c r="R97" i="100" a="1"/>
  <c r="R97" i="100" s="1"/>
  <c r="Q97" i="100" a="1"/>
  <c r="Q97" i="100" s="1"/>
  <c r="P97" i="100" a="1"/>
  <c r="P97" i="100" s="1"/>
  <c r="O97" i="100" a="1"/>
  <c r="O97" i="100" s="1"/>
  <c r="N97" i="100" a="1"/>
  <c r="N97" i="100" s="1"/>
  <c r="M97" i="100" a="1"/>
  <c r="M97" i="100" s="1"/>
  <c r="L97" i="100" a="1"/>
  <c r="L97" i="100" s="1"/>
  <c r="K97" i="100" a="1"/>
  <c r="K97" i="100" s="1"/>
  <c r="J97" i="100" a="1"/>
  <c r="J97" i="100" s="1"/>
  <c r="I97" i="100" a="1"/>
  <c r="I97" i="100" s="1"/>
  <c r="H97" i="100" a="1"/>
  <c r="H97" i="100" s="1"/>
  <c r="G97" i="100" a="1"/>
  <c r="G97" i="100" s="1"/>
  <c r="F97" i="100" a="1"/>
  <c r="F97" i="100" s="1"/>
  <c r="E97" i="100" a="1"/>
  <c r="E97" i="100" s="1"/>
  <c r="D97" i="100" a="1"/>
  <c r="D97" i="100" s="1"/>
  <c r="T95" i="100" a="1"/>
  <c r="T95" i="100" s="1"/>
  <c r="S95" i="100" a="1"/>
  <c r="S95" i="100" s="1"/>
  <c r="R95" i="100" a="1"/>
  <c r="R95" i="100" s="1"/>
  <c r="Q95" i="100" a="1"/>
  <c r="Q95" i="100" s="1"/>
  <c r="P95" i="100" a="1"/>
  <c r="P95" i="100" s="1"/>
  <c r="O95" i="100" a="1"/>
  <c r="O95" i="100" s="1"/>
  <c r="N95" i="100" a="1"/>
  <c r="N95" i="100" s="1"/>
  <c r="M95" i="100" a="1"/>
  <c r="M95" i="100" s="1"/>
  <c r="L95" i="100" a="1"/>
  <c r="L95" i="100" s="1"/>
  <c r="K95" i="100" a="1"/>
  <c r="K95" i="100" s="1"/>
  <c r="J95" i="100" a="1"/>
  <c r="J95" i="100" s="1"/>
  <c r="I95" i="100" a="1"/>
  <c r="I95" i="100" s="1"/>
  <c r="H95" i="100" a="1"/>
  <c r="H95" i="100" s="1"/>
  <c r="G95" i="100" a="1"/>
  <c r="G95" i="100" s="1"/>
  <c r="F95" i="100" a="1"/>
  <c r="F95" i="100" s="1"/>
  <c r="E95" i="100" a="1"/>
  <c r="E95" i="100" s="1"/>
  <c r="D95" i="100" a="1"/>
  <c r="D95" i="100" s="1"/>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s="1"/>
  <c r="P93" i="100" a="1"/>
  <c r="P93" i="100" s="1"/>
  <c r="O93" i="100" a="1"/>
  <c r="O93" i="100" s="1"/>
  <c r="N93" i="100" a="1"/>
  <c r="N93" i="100" s="1"/>
  <c r="M93" i="100" a="1"/>
  <c r="M93" i="100" s="1"/>
  <c r="L93" i="100" a="1"/>
  <c r="L93" i="100" s="1"/>
  <c r="K93" i="100" a="1"/>
  <c r="K93" i="100" s="1"/>
  <c r="J93" i="100" a="1"/>
  <c r="J93" i="100" s="1"/>
  <c r="I93" i="100" a="1"/>
  <c r="I93" i="100" s="1"/>
  <c r="H93" i="100" a="1"/>
  <c r="H93" i="100" s="1"/>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s="1"/>
  <c r="K92" i="100" a="1"/>
  <c r="K92" i="100" s="1"/>
  <c r="J92" i="100" a="1"/>
  <c r="J92" i="100" s="1"/>
  <c r="I92" i="100" a="1"/>
  <c r="I92" i="100" s="1"/>
  <c r="H92" i="100" a="1"/>
  <c r="H92" i="100" s="1"/>
  <c r="G92" i="100" a="1"/>
  <c r="G92" i="100" s="1"/>
  <c r="F92" i="100" a="1"/>
  <c r="F92" i="100" s="1"/>
  <c r="E92" i="100" a="1"/>
  <c r="E92" i="100" s="1"/>
  <c r="D92" i="100" a="1"/>
  <c r="D92"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s="1"/>
  <c r="K89" i="100" a="1"/>
  <c r="K89" i="100" s="1"/>
  <c r="J89" i="100" a="1"/>
  <c r="J89" i="100" s="1"/>
  <c r="I89" i="100" a="1"/>
  <c r="I89" i="100" s="1"/>
  <c r="H89" i="100" a="1"/>
  <c r="H89" i="100" s="1"/>
  <c r="G89" i="100" a="1"/>
  <c r="G89" i="100" s="1"/>
  <c r="F89" i="100" a="1"/>
  <c r="F89" i="100" s="1"/>
  <c r="E89" i="100" a="1"/>
  <c r="E89" i="100" s="1"/>
  <c r="D89" i="100" a="1"/>
  <c r="D89" i="100" s="1"/>
  <c r="T88" i="100" a="1"/>
  <c r="T88" i="100" s="1"/>
  <c r="S88" i="100" a="1"/>
  <c r="S88" i="100" s="1"/>
  <c r="R88" i="100" a="1"/>
  <c r="R88" i="100" s="1"/>
  <c r="Q88" i="100" a="1"/>
  <c r="Q88"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s="1"/>
  <c r="F88" i="100" a="1"/>
  <c r="F88" i="100" s="1"/>
  <c r="E88" i="100" a="1"/>
  <c r="E88" i="100" s="1"/>
  <c r="D88" i="100" a="1"/>
  <c r="D88" i="100" s="1"/>
  <c r="T87" i="100"/>
  <c r="S87" i="100" a="1"/>
  <c r="S87" i="100" s="1"/>
  <c r="R87" i="100" a="1"/>
  <c r="R87" i="100" s="1"/>
  <c r="Q87" i="100" a="1"/>
  <c r="Q87" i="100" s="1"/>
  <c r="P87" i="100" a="1"/>
  <c r="P87" i="100" s="1"/>
  <c r="O87" i="100" a="1"/>
  <c r="O87" i="100" s="1"/>
  <c r="N87" i="100" a="1"/>
  <c r="N87" i="100" s="1"/>
  <c r="M87" i="100" a="1"/>
  <c r="M87" i="100" s="1"/>
  <c r="L87" i="100" a="1"/>
  <c r="L87" i="100" s="1"/>
  <c r="K87" i="100" a="1"/>
  <c r="K87" i="100" s="1"/>
  <c r="J87" i="100" a="1"/>
  <c r="J87" i="100" s="1"/>
  <c r="I87" i="100" a="1"/>
  <c r="I87" i="100" s="1"/>
  <c r="H87" i="100" a="1"/>
  <c r="H87" i="100" s="1"/>
  <c r="G87" i="100" a="1"/>
  <c r="G87" i="100" s="1"/>
  <c r="F87" i="100" a="1"/>
  <c r="F87" i="100" s="1"/>
  <c r="E87" i="100" a="1"/>
  <c r="E87" i="100" s="1"/>
  <c r="D87" i="100" a="1"/>
  <c r="D87"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c r="S82" i="100" a="1"/>
  <c r="S82" i="100" s="1"/>
  <c r="R82" i="100" a="1"/>
  <c r="R82" i="100" s="1"/>
  <c r="Q82" i="100" a="1"/>
  <c r="Q82" i="100" s="1"/>
  <c r="P82" i="100" a="1"/>
  <c r="P82" i="100" s="1"/>
  <c r="O82" i="100" a="1"/>
  <c r="O82" i="100" s="1"/>
  <c r="N82" i="100" a="1"/>
  <c r="N82" i="100" s="1"/>
  <c r="M82" i="100" a="1"/>
  <c r="M82" i="100" s="1"/>
  <c r="L82" i="100" a="1"/>
  <c r="L82" i="100" s="1"/>
  <c r="K82" i="100" a="1"/>
  <c r="K82" i="100" s="1"/>
  <c r="J82" i="100" a="1"/>
  <c r="J82" i="100" s="1"/>
  <c r="I82" i="100" a="1"/>
  <c r="I82" i="100" s="1"/>
  <c r="H82" i="100" a="1"/>
  <c r="H82" i="100" s="1"/>
  <c r="G82" i="100" a="1"/>
  <c r="G82" i="100" s="1"/>
  <c r="F82" i="100" a="1"/>
  <c r="F82" i="100" s="1"/>
  <c r="E82" i="100" a="1"/>
  <c r="E82" i="100" s="1"/>
  <c r="D82" i="100" a="1"/>
  <c r="D82" i="100" s="1"/>
  <c r="T80" i="100" a="1"/>
  <c r="T80" i="100" s="1"/>
  <c r="S80" i="100" a="1"/>
  <c r="S80" i="100" s="1"/>
  <c r="R80" i="100" a="1"/>
  <c r="R80" i="100" s="1"/>
  <c r="Q80" i="100" a="1"/>
  <c r="Q80" i="100" s="1"/>
  <c r="P80" i="100" a="1"/>
  <c r="P80" i="100" s="1"/>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T79" i="100" a="1"/>
  <c r="T79" i="100" s="1"/>
  <c r="S79" i="100" a="1"/>
  <c r="S79" i="100" s="1"/>
  <c r="R79" i="100" a="1"/>
  <c r="R79" i="100" s="1"/>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c r="S77" i="100" a="1"/>
  <c r="S77" i="100" s="1"/>
  <c r="R77" i="100" a="1"/>
  <c r="R77" i="100" s="1"/>
  <c r="Q77" i="100" a="1"/>
  <c r="Q77" i="100" s="1"/>
  <c r="P77" i="100" a="1"/>
  <c r="P77" i="100" s="1"/>
  <c r="O77" i="100" a="1"/>
  <c r="O77" i="100" s="1"/>
  <c r="N77" i="100" a="1"/>
  <c r="N77" i="100" s="1"/>
  <c r="M77" i="100" a="1"/>
  <c r="M77" i="100" s="1"/>
  <c r="L77" i="100" a="1"/>
  <c r="L77" i="100" s="1"/>
  <c r="K77" i="100" a="1"/>
  <c r="K77" i="100" s="1"/>
  <c r="J77" i="100" a="1"/>
  <c r="J77" i="100" s="1"/>
  <c r="I77" i="100" a="1"/>
  <c r="I77" i="100" s="1"/>
  <c r="H77" i="100" a="1"/>
  <c r="H77" i="100" s="1"/>
  <c r="G77" i="100" a="1"/>
  <c r="G77" i="100" s="1"/>
  <c r="F77" i="100" a="1"/>
  <c r="F77" i="100" s="1"/>
  <c r="E77" i="100" a="1"/>
  <c r="E77" i="100" s="1"/>
  <c r="D77" i="100" a="1"/>
  <c r="D77" i="100" s="1"/>
  <c r="T72" i="100"/>
  <c r="S72" i="100"/>
  <c r="R72" i="100"/>
  <c r="Q72" i="100"/>
  <c r="P72" i="100"/>
  <c r="O72" i="100"/>
  <c r="N72" i="100"/>
  <c r="M72" i="100"/>
  <c r="L72" i="100"/>
  <c r="K72" i="100"/>
  <c r="J72" i="100"/>
  <c r="I72" i="100"/>
  <c r="H72" i="100"/>
  <c r="G72" i="100"/>
  <c r="F72" i="100"/>
  <c r="E72" i="100"/>
  <c r="D72" i="100"/>
  <c r="T70" i="100"/>
  <c r="S70" i="100"/>
  <c r="R70" i="100"/>
  <c r="Q70" i="100"/>
  <c r="P70" i="100"/>
  <c r="O70" i="100"/>
  <c r="N70" i="100"/>
  <c r="M70" i="100"/>
  <c r="L70" i="100"/>
  <c r="K70" i="100"/>
  <c r="J70" i="100"/>
  <c r="I70" i="100"/>
  <c r="H70" i="100"/>
  <c r="G70" i="100"/>
  <c r="F70" i="100"/>
  <c r="E70" i="100"/>
  <c r="D70" i="100"/>
  <c r="T69" i="100"/>
  <c r="S69" i="100"/>
  <c r="R69" i="100"/>
  <c r="Q69" i="100"/>
  <c r="P69" i="100"/>
  <c r="O69" i="100"/>
  <c r="N69" i="100"/>
  <c r="M69" i="100"/>
  <c r="L69" i="100"/>
  <c r="K69" i="100"/>
  <c r="J69" i="100"/>
  <c r="I69" i="100"/>
  <c r="H69" i="100"/>
  <c r="G69" i="100"/>
  <c r="F69" i="100"/>
  <c r="E69" i="100"/>
  <c r="D69" i="100"/>
  <c r="T68" i="100"/>
  <c r="S68" i="100"/>
  <c r="R68" i="100"/>
  <c r="Q68" i="100"/>
  <c r="P68" i="100"/>
  <c r="O68" i="100"/>
  <c r="N68" i="100"/>
  <c r="M68" i="100"/>
  <c r="L68" i="100"/>
  <c r="K68" i="100"/>
  <c r="J68" i="100"/>
  <c r="I68" i="100"/>
  <c r="H68" i="100"/>
  <c r="G68" i="100"/>
  <c r="F68" i="100"/>
  <c r="E68" i="100"/>
  <c r="D68" i="100"/>
  <c r="T67" i="100"/>
  <c r="S67" i="100"/>
  <c r="R67" i="100"/>
  <c r="Q67" i="100"/>
  <c r="P67" i="100"/>
  <c r="O67" i="100"/>
  <c r="N67" i="100"/>
  <c r="M67" i="100"/>
  <c r="L67" i="100"/>
  <c r="K67" i="100"/>
  <c r="J67" i="100"/>
  <c r="I67" i="100"/>
  <c r="H67" i="100"/>
  <c r="G67" i="100"/>
  <c r="F67" i="100"/>
  <c r="E67" i="100"/>
  <c r="D67" i="100"/>
  <c r="T65" i="100"/>
  <c r="S65" i="100"/>
  <c r="R65" i="100"/>
  <c r="Q65" i="100"/>
  <c r="P65" i="100"/>
  <c r="O65" i="100"/>
  <c r="N65" i="100"/>
  <c r="M65" i="100"/>
  <c r="L65" i="100"/>
  <c r="K65" i="100"/>
  <c r="J65" i="100"/>
  <c r="I65" i="100"/>
  <c r="H65" i="100"/>
  <c r="G65" i="100"/>
  <c r="F65" i="100"/>
  <c r="E65" i="100"/>
  <c r="D65" i="100"/>
  <c r="T64" i="100"/>
  <c r="S64" i="100"/>
  <c r="R64" i="100"/>
  <c r="Q64" i="100"/>
  <c r="P64" i="100"/>
  <c r="O64" i="100"/>
  <c r="N64" i="100"/>
  <c r="M64" i="100"/>
  <c r="L64" i="100"/>
  <c r="K64" i="100"/>
  <c r="J64" i="100"/>
  <c r="I64" i="100"/>
  <c r="H64" i="100"/>
  <c r="G64" i="100"/>
  <c r="F64" i="100"/>
  <c r="E64" i="100"/>
  <c r="D64" i="100"/>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0" i="100"/>
  <c r="S60" i="100"/>
  <c r="R60" i="100"/>
  <c r="Q60" i="100"/>
  <c r="P60" i="100"/>
  <c r="O60" i="100"/>
  <c r="N60" i="100"/>
  <c r="M60" i="100"/>
  <c r="L60" i="100"/>
  <c r="K60" i="100"/>
  <c r="J60" i="100"/>
  <c r="I60" i="100"/>
  <c r="H60" i="100"/>
  <c r="G60" i="100"/>
  <c r="F60" i="100"/>
  <c r="E60" i="100"/>
  <c r="D60" i="100"/>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5" i="100"/>
  <c r="S35" i="100"/>
  <c r="R35" i="100"/>
  <c r="Q35" i="100"/>
  <c r="P35" i="100"/>
  <c r="O35" i="100"/>
  <c r="N35" i="100"/>
  <c r="M35" i="100"/>
  <c r="L35" i="100"/>
  <c r="K35" i="100"/>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0" i="100"/>
  <c r="S20" i="100"/>
  <c r="R20" i="100"/>
  <c r="Q20" i="100"/>
  <c r="P20" i="100"/>
  <c r="O20" i="100"/>
  <c r="N20" i="100"/>
  <c r="M20" i="100"/>
  <c r="L20" i="100"/>
  <c r="K20" i="100"/>
  <c r="J20" i="100"/>
  <c r="I20" i="100"/>
  <c r="H20" i="100"/>
  <c r="G20" i="100"/>
  <c r="F20" i="100"/>
  <c r="E20" i="100"/>
  <c r="D20" i="100"/>
  <c r="T19" i="100"/>
  <c r="S19" i="100"/>
  <c r="R19" i="100"/>
  <c r="Q19" i="100"/>
  <c r="P19" i="100"/>
  <c r="O19" i="100"/>
  <c r="N19" i="100"/>
  <c r="M19" i="100"/>
  <c r="L19" i="100"/>
  <c r="K19" i="100"/>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5" i="100"/>
  <c r="S15" i="100"/>
  <c r="R15" i="100"/>
  <c r="Q15" i="100"/>
  <c r="P15" i="100"/>
  <c r="O15" i="100"/>
  <c r="N15" i="100"/>
  <c r="M15" i="100"/>
  <c r="L15" i="100"/>
  <c r="K15" i="100"/>
  <c r="J15" i="100"/>
  <c r="I15" i="100"/>
  <c r="H15" i="100"/>
  <c r="G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E13" i="100"/>
  <c r="D13" i="100"/>
  <c r="T12" i="100"/>
  <c r="S12" i="100"/>
  <c r="R12" i="100"/>
  <c r="Q12" i="100"/>
  <c r="P12" i="100"/>
  <c r="O12" i="100"/>
  <c r="N12" i="100"/>
  <c r="M12" i="100"/>
  <c r="L12" i="100"/>
  <c r="K12" i="100"/>
  <c r="J12" i="100"/>
  <c r="I12" i="100"/>
  <c r="H12" i="100"/>
  <c r="G12" i="100"/>
  <c r="F12" i="100"/>
  <c r="E12" i="100"/>
  <c r="D12"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G37" i="114"/>
  <c r="G34" i="114"/>
  <c r="D34" i="114"/>
  <c r="C34" i="114"/>
  <c r="G33" i="114"/>
  <c r="J29" i="114"/>
  <c r="I29" i="114"/>
  <c r="G29" i="114"/>
  <c r="F29" i="114"/>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K10" i="114"/>
  <c r="K12" i="114" s="1"/>
  <c r="I10" i="114"/>
  <c r="I12" i="114" s="1"/>
  <c r="H10" i="114"/>
  <c r="H12" i="114" s="1"/>
  <c r="F10" i="114"/>
  <c r="E10" i="114"/>
  <c r="E12" i="114" s="1"/>
  <c r="D10" i="114"/>
  <c r="D12" i="114" s="1"/>
  <c r="C10" i="114"/>
  <c r="C12" i="114" s="1"/>
  <c r="B10" i="114"/>
  <c r="U129" i="98"/>
  <c r="B129" i="98"/>
  <c r="U122" i="98"/>
  <c r="B122" i="98"/>
  <c r="U115" i="98"/>
  <c r="B115" i="98"/>
  <c r="Q134" i="98" s="1"/>
  <c r="U108" i="98"/>
  <c r="B108" i="98"/>
  <c r="Q127" i="98" s="1"/>
  <c r="B100" i="98"/>
  <c r="B93" i="98"/>
  <c r="S97" i="98" s="1"/>
  <c r="D41" i="98"/>
  <c r="D40" i="98"/>
  <c r="D39" i="98"/>
  <c r="D38" i="98"/>
  <c r="G37" i="98"/>
  <c r="D37" i="98"/>
  <c r="G34" i="98"/>
  <c r="D34" i="98"/>
  <c r="C34" i="98"/>
  <c r="G33" i="98"/>
  <c r="J29" i="98"/>
  <c r="I29" i="98"/>
  <c r="G29" i="98"/>
  <c r="F29" i="98"/>
  <c r="D29" i="98"/>
  <c r="C29" i="98"/>
  <c r="J28" i="98"/>
  <c r="I28" i="98"/>
  <c r="G28" i="98"/>
  <c r="F28" i="98"/>
  <c r="D28" i="98"/>
  <c r="C28" i="98"/>
  <c r="B28" i="98"/>
  <c r="H22" i="98"/>
  <c r="F22" i="98"/>
  <c r="D22" i="98"/>
  <c r="C22" i="98"/>
  <c r="F21" i="98"/>
  <c r="D21" i="98"/>
  <c r="C21" i="98"/>
  <c r="B21" i="98"/>
  <c r="L16" i="98"/>
  <c r="K16" i="98"/>
  <c r="I16" i="98"/>
  <c r="G16" i="98"/>
  <c r="F16" i="98"/>
  <c r="D16" i="98"/>
  <c r="C16" i="98"/>
  <c r="L15" i="98"/>
  <c r="K15" i="98"/>
  <c r="I15" i="98"/>
  <c r="G15" i="98"/>
  <c r="F15" i="98"/>
  <c r="D15" i="98"/>
  <c r="C15" i="98"/>
  <c r="L11" i="98"/>
  <c r="K11" i="98"/>
  <c r="I11" i="98"/>
  <c r="H11" i="98"/>
  <c r="F11" i="98"/>
  <c r="E11" i="98"/>
  <c r="D11" i="98"/>
  <c r="C11" i="98"/>
  <c r="L10" i="98"/>
  <c r="L12" i="98" s="1"/>
  <c r="K10" i="98"/>
  <c r="K12" i="98" s="1"/>
  <c r="I10" i="98"/>
  <c r="I12" i="98" s="1"/>
  <c r="H10" i="98"/>
  <c r="H12" i="98" s="1"/>
  <c r="F10" i="98"/>
  <c r="F12" i="98" s="1"/>
  <c r="E10" i="98"/>
  <c r="E12" i="98" s="1"/>
  <c r="D10" i="98"/>
  <c r="C10" i="98"/>
  <c r="C12" i="98" s="1"/>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S47" i="117"/>
  <c r="R47" i="117"/>
  <c r="Q47" i="117"/>
  <c r="P47" i="117"/>
  <c r="O47" i="117"/>
  <c r="N47" i="117"/>
  <c r="M47" i="117"/>
  <c r="L47" i="117"/>
  <c r="K47" i="117"/>
  <c r="J47" i="117"/>
  <c r="I47" i="117"/>
  <c r="H47" i="117"/>
  <c r="G47" i="117"/>
  <c r="F47" i="117"/>
  <c r="E47" i="117"/>
  <c r="D47" i="117"/>
  <c r="C47" i="117"/>
  <c r="B45"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L12" i="117"/>
  <c r="K12" i="117"/>
  <c r="J12" i="117"/>
  <c r="I12" i="117"/>
  <c r="F12" i="117"/>
  <c r="E12" i="117"/>
  <c r="D12" i="117"/>
  <c r="C12" i="117"/>
  <c r="L11" i="117"/>
  <c r="K11" i="117"/>
  <c r="J11" i="117"/>
  <c r="I11" i="117"/>
  <c r="H11" i="117"/>
  <c r="F11" i="117"/>
  <c r="E11" i="117"/>
  <c r="D11" i="117"/>
  <c r="C11" i="117"/>
  <c r="B11" i="117"/>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S61" i="115"/>
  <c r="R61" i="115"/>
  <c r="Q61" i="115"/>
  <c r="P61" i="115"/>
  <c r="O61" i="115"/>
  <c r="N61" i="115"/>
  <c r="M61" i="115"/>
  <c r="L61" i="115"/>
  <c r="K61" i="115"/>
  <c r="J61" i="115"/>
  <c r="I61" i="115"/>
  <c r="H61" i="115"/>
  <c r="G61" i="115"/>
  <c r="F61" i="115"/>
  <c r="E61" i="115"/>
  <c r="D61" i="115"/>
  <c r="C61" i="115"/>
  <c r="S60" i="115"/>
  <c r="R60" i="115"/>
  <c r="Q60" i="115"/>
  <c r="P60" i="115"/>
  <c r="O60" i="115"/>
  <c r="N60" i="115"/>
  <c r="M60" i="115"/>
  <c r="L60" i="115"/>
  <c r="K60" i="115"/>
  <c r="J60" i="115"/>
  <c r="I60" i="115"/>
  <c r="H60" i="115"/>
  <c r="G60" i="115"/>
  <c r="F60" i="115"/>
  <c r="E60" i="115"/>
  <c r="D60" i="115"/>
  <c r="C60" i="115"/>
  <c r="B58"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B42"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F23" i="115"/>
  <c r="E23" i="115"/>
  <c r="D23" i="115"/>
  <c r="C23" i="115"/>
  <c r="F22" i="115"/>
  <c r="E22" i="115"/>
  <c r="D22" i="115"/>
  <c r="C22" i="115"/>
  <c r="B22" i="115"/>
  <c r="F18" i="115"/>
  <c r="E18" i="115"/>
  <c r="D18" i="115"/>
  <c r="C18" i="115"/>
  <c r="B16" i="115"/>
  <c r="L10" i="115"/>
  <c r="K10" i="115"/>
  <c r="J10" i="115"/>
  <c r="I10" i="115"/>
  <c r="F10" i="115"/>
  <c r="E10" i="115"/>
  <c r="D10" i="115"/>
  <c r="C10" i="115"/>
  <c r="L9" i="115"/>
  <c r="K9" i="115"/>
  <c r="J9" i="115"/>
  <c r="I9" i="115"/>
  <c r="H9" i="115"/>
  <c r="F9" i="115"/>
  <c r="E9" i="115"/>
  <c r="D9" i="115"/>
  <c r="C9" i="115"/>
  <c r="B9" i="115"/>
  <c r="U126" i="101"/>
  <c r="B126" i="101"/>
  <c r="U119" i="101"/>
  <c r="B119" i="101"/>
  <c r="U112" i="101"/>
  <c r="B112" i="101"/>
  <c r="O130" i="101" s="1"/>
  <c r="U105" i="101"/>
  <c r="B105" i="101"/>
  <c r="O131" i="101" s="1"/>
  <c r="B99" i="101"/>
  <c r="B92" i="101"/>
  <c r="Q96" i="101" s="1"/>
  <c r="G35" i="101"/>
  <c r="G34" i="101"/>
  <c r="G33" i="101"/>
  <c r="J29" i="101"/>
  <c r="I29" i="101"/>
  <c r="G29" i="101"/>
  <c r="F29" i="101"/>
  <c r="D29" i="101"/>
  <c r="C29"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I9" i="101"/>
  <c r="H9" i="101"/>
  <c r="H11" i="101" s="1"/>
  <c r="F9" i="101"/>
  <c r="F11" i="101" s="1"/>
  <c r="E9" i="101"/>
  <c r="D9" i="101"/>
  <c r="D11" i="101" s="1"/>
  <c r="C9" i="101"/>
  <c r="B9" i="101"/>
  <c r="D46" i="106"/>
  <c r="E46" i="106" s="1"/>
  <c r="D35" i="106"/>
  <c r="E35" i="106" s="1"/>
  <c r="D34" i="106"/>
  <c r="E34" i="106" s="1"/>
  <c r="D33" i="106"/>
  <c r="E33" i="106" s="1"/>
  <c r="D32" i="106"/>
  <c r="E32" i="106" s="1"/>
  <c r="D31" i="106"/>
  <c r="E31" i="106" s="1"/>
  <c r="D30" i="106"/>
  <c r="E30" i="106" s="1"/>
  <c r="D29" i="106"/>
  <c r="E29" i="106" s="1"/>
  <c r="D28" i="106"/>
  <c r="E28" i="106" s="1"/>
  <c r="D27" i="106"/>
  <c r="E27" i="106" s="1"/>
  <c r="D26" i="106"/>
  <c r="E26" i="106" s="1"/>
  <c r="D25" i="106"/>
  <c r="E25" i="106" s="1"/>
  <c r="D24" i="106"/>
  <c r="E24" i="106" s="1"/>
  <c r="D23" i="106"/>
  <c r="E23" i="106" s="1"/>
  <c r="D22" i="106"/>
  <c r="E22" i="106" s="1"/>
  <c r="D21" i="106"/>
  <c r="E21" i="106" s="1"/>
  <c r="D20" i="106"/>
  <c r="E20" i="106" s="1"/>
  <c r="D19" i="106"/>
  <c r="E19" i="106" s="1"/>
  <c r="D18" i="106"/>
  <c r="E18" i="106" s="1"/>
  <c r="D17" i="106"/>
  <c r="E17" i="106" s="1"/>
  <c r="D16" i="106"/>
  <c r="E16" i="106" s="1"/>
  <c r="D15" i="106"/>
  <c r="E15" i="106" s="1"/>
  <c r="D13" i="106"/>
  <c r="E13" i="106" s="1"/>
  <c r="D12" i="106"/>
  <c r="E12" i="106" s="1"/>
  <c r="D11" i="106"/>
  <c r="E11" i="106" s="1"/>
  <c r="D10" i="106"/>
  <c r="E10" i="106" s="1"/>
  <c r="D9" i="106"/>
  <c r="E9" i="106" s="1"/>
  <c r="D8" i="106"/>
  <c r="E8" i="106" s="1"/>
  <c r="D7" i="106"/>
  <c r="E7" i="106" s="1"/>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H21" i="101" l="1"/>
  <c r="AF148" i="100"/>
  <c r="AN148" i="100"/>
  <c r="AE149" i="100"/>
  <c r="AM149" i="100"/>
  <c r="AD150" i="100"/>
  <c r="AL150" i="100"/>
  <c r="AB153" i="100"/>
  <c r="AJ153" i="100"/>
  <c r="AA154" i="100"/>
  <c r="AI154" i="100"/>
  <c r="Z155" i="100"/>
  <c r="AH155" i="100"/>
  <c r="AF158" i="100"/>
  <c r="AN158" i="100"/>
  <c r="AE159" i="100"/>
  <c r="AM159" i="100"/>
  <c r="AD160" i="100"/>
  <c r="AL160" i="100"/>
  <c r="AB163" i="100"/>
  <c r="AJ163" i="100"/>
  <c r="AA164" i="100"/>
  <c r="AI164" i="100"/>
  <c r="Z165" i="100"/>
  <c r="AH165" i="100"/>
  <c r="AF168" i="100"/>
  <c r="AN168" i="100"/>
  <c r="AE169" i="100"/>
  <c r="AM169" i="100"/>
  <c r="AD170" i="100"/>
  <c r="AL170" i="100"/>
  <c r="AB173" i="100"/>
  <c r="AJ173" i="100"/>
  <c r="AA174" i="100"/>
  <c r="AI174" i="100"/>
  <c r="Z175" i="100"/>
  <c r="AH175" i="100"/>
  <c r="AF178" i="100"/>
  <c r="AN178" i="100"/>
  <c r="AE179" i="100"/>
  <c r="AM179" i="100"/>
  <c r="AD180" i="100"/>
  <c r="AL180" i="100"/>
  <c r="AB183" i="100"/>
  <c r="AJ183" i="100"/>
  <c r="AA184" i="100"/>
  <c r="AI184" i="100"/>
  <c r="Z185" i="100"/>
  <c r="AH185" i="100"/>
  <c r="AF188" i="100"/>
  <c r="AN188" i="100"/>
  <c r="AE189" i="100"/>
  <c r="AM189" i="100"/>
  <c r="AD190" i="100"/>
  <c r="AL190" i="100"/>
  <c r="AB193" i="100"/>
  <c r="AJ193" i="100"/>
  <c r="AA194" i="100"/>
  <c r="AI194" i="100"/>
  <c r="Z195" i="100"/>
  <c r="AH195" i="100"/>
  <c r="AE209" i="100"/>
  <c r="AM209" i="100"/>
  <c r="AD210" i="100"/>
  <c r="AL210" i="100"/>
  <c r="Z148" i="100"/>
  <c r="AH148" i="100"/>
  <c r="AD153" i="100"/>
  <c r="AL153" i="100"/>
  <c r="Z158" i="100"/>
  <c r="AH158" i="100"/>
  <c r="AD163" i="100"/>
  <c r="AL163" i="100"/>
  <c r="Z168" i="100"/>
  <c r="AH168" i="100"/>
  <c r="AD173" i="100"/>
  <c r="AL173" i="100"/>
  <c r="Z178" i="100"/>
  <c r="AH178" i="100"/>
  <c r="AD183" i="100"/>
  <c r="AL183" i="100"/>
  <c r="Z188" i="100"/>
  <c r="AH188" i="100"/>
  <c r="AD193" i="100"/>
  <c r="AL193" i="100"/>
  <c r="Z208" i="100"/>
  <c r="AH208" i="100"/>
  <c r="AC150" i="100"/>
  <c r="AK150" i="100"/>
  <c r="Y155" i="100"/>
  <c r="AG155" i="100"/>
  <c r="AO155" i="100"/>
  <c r="AC160" i="100"/>
  <c r="AK160" i="100"/>
  <c r="Y165" i="100"/>
  <c r="AG165" i="100"/>
  <c r="AO165" i="100"/>
  <c r="AC170" i="100"/>
  <c r="AK170" i="100"/>
  <c r="Y175" i="100"/>
  <c r="AG175" i="100"/>
  <c r="AO175" i="100"/>
  <c r="AC180" i="100"/>
  <c r="AK180" i="100"/>
  <c r="Y185" i="100"/>
  <c r="AG185" i="100"/>
  <c r="AO185" i="100"/>
  <c r="AC190" i="100"/>
  <c r="AK190" i="100"/>
  <c r="Y195" i="100"/>
  <c r="AG195" i="100"/>
  <c r="AO195" i="100"/>
  <c r="AC210" i="100"/>
  <c r="AK210" i="100"/>
  <c r="Y147" i="100"/>
  <c r="Y151" i="100"/>
  <c r="AG147" i="100"/>
  <c r="AG151" i="100"/>
  <c r="AO147" i="100"/>
  <c r="AO151" i="100"/>
  <c r="AC152" i="100"/>
  <c r="AC156" i="100"/>
  <c r="AK152" i="100"/>
  <c r="AK156" i="100"/>
  <c r="Y157" i="100"/>
  <c r="Y161" i="100"/>
  <c r="AG157" i="100"/>
  <c r="AG161" i="100"/>
  <c r="AO157" i="100"/>
  <c r="AO161" i="100"/>
  <c r="AC162" i="100"/>
  <c r="AC166" i="100"/>
  <c r="AK162" i="100"/>
  <c r="AK166" i="100"/>
  <c r="Y167" i="100"/>
  <c r="Y171" i="100"/>
  <c r="AG167" i="100"/>
  <c r="AG171" i="100"/>
  <c r="AO167" i="100"/>
  <c r="AO171" i="100"/>
  <c r="AC172" i="100"/>
  <c r="AC176" i="100"/>
  <c r="AK172" i="100"/>
  <c r="AK176" i="100"/>
  <c r="Y177" i="100"/>
  <c r="Y181" i="100"/>
  <c r="AG177" i="100"/>
  <c r="AG181" i="100"/>
  <c r="AO177" i="100"/>
  <c r="AO181" i="100"/>
  <c r="AC182" i="100"/>
  <c r="AC186" i="100"/>
  <c r="AK182" i="100"/>
  <c r="AK186" i="100"/>
  <c r="Z147" i="100"/>
  <c r="Z151" i="100"/>
  <c r="AH147" i="100"/>
  <c r="AH151" i="100"/>
  <c r="Y148" i="100"/>
  <c r="AA147" i="100"/>
  <c r="AA151" i="100"/>
  <c r="AI147" i="100"/>
  <c r="AI151" i="100"/>
  <c r="Y149" i="100"/>
  <c r="AG149" i="100"/>
  <c r="AO149" i="100"/>
  <c r="AF150" i="100"/>
  <c r="AN150" i="100"/>
  <c r="AE152" i="100"/>
  <c r="AE156" i="100"/>
  <c r="AM152" i="100"/>
  <c r="AM156" i="100"/>
  <c r="AC154" i="100"/>
  <c r="AK154" i="100"/>
  <c r="AB155" i="100"/>
  <c r="AJ155" i="100"/>
  <c r="AA157" i="100"/>
  <c r="AA161" i="100"/>
  <c r="AI157" i="100"/>
  <c r="AI161" i="100"/>
  <c r="Y159" i="100"/>
  <c r="AG159" i="100"/>
  <c r="AO159" i="100"/>
  <c r="AF160" i="100"/>
  <c r="AN160" i="100"/>
  <c r="AE162" i="100"/>
  <c r="AE166" i="100"/>
  <c r="AM162" i="100"/>
  <c r="AM166" i="100"/>
  <c r="AB147" i="100"/>
  <c r="AB151" i="100"/>
  <c r="AJ147" i="100"/>
  <c r="AJ151" i="100"/>
  <c r="AA148" i="100"/>
  <c r="AC147" i="100"/>
  <c r="AC151" i="100"/>
  <c r="AK147" i="100"/>
  <c r="AK151" i="100"/>
  <c r="AB148" i="100"/>
  <c r="AJ148" i="100"/>
  <c r="AA149" i="100"/>
  <c r="AI149" i="100"/>
  <c r="Z150" i="100"/>
  <c r="AH150" i="100"/>
  <c r="Y152" i="100"/>
  <c r="Y156" i="100"/>
  <c r="AG152" i="100"/>
  <c r="AG156" i="100"/>
  <c r="AO152" i="100"/>
  <c r="AO156" i="100"/>
  <c r="AF153" i="100"/>
  <c r="AD147" i="100"/>
  <c r="AD151" i="100"/>
  <c r="AL147" i="100"/>
  <c r="AL151" i="100"/>
  <c r="AC148" i="100"/>
  <c r="AK148" i="100"/>
  <c r="AB149" i="100"/>
  <c r="AJ149" i="100"/>
  <c r="AA150" i="100"/>
  <c r="AI150" i="100"/>
  <c r="Z152" i="100"/>
  <c r="Z156" i="100"/>
  <c r="AH152" i="100"/>
  <c r="AH156" i="100"/>
  <c r="Y153" i="100"/>
  <c r="AG153" i="100"/>
  <c r="AO153" i="100"/>
  <c r="AF154" i="100"/>
  <c r="AE147" i="100"/>
  <c r="AE151" i="100"/>
  <c r="AM147" i="100"/>
  <c r="AM151" i="100"/>
  <c r="AD148" i="100"/>
  <c r="AL148" i="100"/>
  <c r="AC149" i="100"/>
  <c r="AK149" i="100"/>
  <c r="AA152" i="100"/>
  <c r="AA156" i="100"/>
  <c r="AI152" i="100"/>
  <c r="AI156" i="100"/>
  <c r="Z153" i="100"/>
  <c r="AH153" i="100"/>
  <c r="Y154" i="100"/>
  <c r="AG154" i="100"/>
  <c r="AO154" i="100"/>
  <c r="AE157" i="100"/>
  <c r="AE161" i="100"/>
  <c r="AM157" i="100"/>
  <c r="AM161" i="100"/>
  <c r="AD158" i="100"/>
  <c r="AL158" i="100"/>
  <c r="AC159" i="100"/>
  <c r="AK159" i="100"/>
  <c r="AA162" i="100"/>
  <c r="AA166" i="100"/>
  <c r="AF147" i="100"/>
  <c r="AF151" i="100"/>
  <c r="AN147" i="100"/>
  <c r="AN151" i="100"/>
  <c r="AE148" i="100"/>
  <c r="AM148" i="100"/>
  <c r="AD149" i="100"/>
  <c r="AL149" i="100"/>
  <c r="AB152" i="100"/>
  <c r="AB156" i="100"/>
  <c r="AJ152" i="100"/>
  <c r="AJ156" i="100"/>
  <c r="AA153" i="100"/>
  <c r="AI153" i="100"/>
  <c r="Z154" i="100"/>
  <c r="AH154" i="100"/>
  <c r="AF157" i="100"/>
  <c r="AF161" i="100"/>
  <c r="AN157" i="100"/>
  <c r="AN161" i="100"/>
  <c r="AE158" i="100"/>
  <c r="AM158" i="100"/>
  <c r="AD159" i="100"/>
  <c r="AL159" i="100"/>
  <c r="AB162" i="100"/>
  <c r="AB166" i="100"/>
  <c r="AJ162" i="100"/>
  <c r="AJ166" i="100"/>
  <c r="AA163" i="100"/>
  <c r="AI163" i="100"/>
  <c r="Z164" i="100"/>
  <c r="AH164" i="100"/>
  <c r="AF167" i="100"/>
  <c r="AF171" i="100"/>
  <c r="AN167" i="100"/>
  <c r="AN171" i="100"/>
  <c r="AE168" i="100"/>
  <c r="AM168" i="100"/>
  <c r="AD169" i="100"/>
  <c r="AL169" i="100"/>
  <c r="AB172" i="100"/>
  <c r="AB176" i="100"/>
  <c r="AJ172" i="100"/>
  <c r="AJ176" i="100"/>
  <c r="AA173" i="100"/>
  <c r="AI173" i="100"/>
  <c r="Z174" i="100"/>
  <c r="AH174" i="100"/>
  <c r="Y187" i="100"/>
  <c r="Y191" i="100"/>
  <c r="AG187" i="100"/>
  <c r="AG191" i="100"/>
  <c r="AO187" i="100"/>
  <c r="AO191" i="100"/>
  <c r="AC192" i="100"/>
  <c r="AC196" i="100"/>
  <c r="AK192" i="100"/>
  <c r="AK196" i="100"/>
  <c r="Y197" i="100"/>
  <c r="Y201" i="100"/>
  <c r="N199" i="100"/>
  <c r="AO197" i="100"/>
  <c r="AO201" i="100"/>
  <c r="Y202" i="100"/>
  <c r="Y206" i="100"/>
  <c r="AO202" i="100"/>
  <c r="AO206" i="100"/>
  <c r="Y207" i="100"/>
  <c r="Y211" i="100"/>
  <c r="AG207" i="100"/>
  <c r="AG211" i="100"/>
  <c r="AO207" i="100"/>
  <c r="AO211" i="100"/>
  <c r="AG148" i="100"/>
  <c r="AO148" i="100"/>
  <c r="AF149" i="100"/>
  <c r="AN149" i="100"/>
  <c r="AE150" i="100"/>
  <c r="AM150" i="100"/>
  <c r="AD152" i="100"/>
  <c r="AD156" i="100"/>
  <c r="AL152" i="100"/>
  <c r="AL156" i="100"/>
  <c r="AC153" i="100"/>
  <c r="AK153" i="100"/>
  <c r="AB154" i="100"/>
  <c r="AJ154" i="100"/>
  <c r="AA155" i="100"/>
  <c r="AI155" i="100"/>
  <c r="Z157" i="100"/>
  <c r="Z161" i="100"/>
  <c r="AH157" i="100"/>
  <c r="AH161" i="100"/>
  <c r="Y158" i="100"/>
  <c r="AG158" i="100"/>
  <c r="AO158" i="100"/>
  <c r="AF159" i="100"/>
  <c r="AN159" i="100"/>
  <c r="AE160" i="100"/>
  <c r="AM160" i="100"/>
  <c r="AD162" i="100"/>
  <c r="AD166" i="100"/>
  <c r="AL162" i="100"/>
  <c r="AL166" i="100"/>
  <c r="AC163" i="100"/>
  <c r="AK163" i="100"/>
  <c r="AB164" i="100"/>
  <c r="AJ164" i="100"/>
  <c r="AA165" i="100"/>
  <c r="AI165" i="100"/>
  <c r="Z167" i="100"/>
  <c r="Z171" i="100"/>
  <c r="AH167" i="100"/>
  <c r="AH171" i="100"/>
  <c r="Y168" i="100"/>
  <c r="AG168" i="100"/>
  <c r="AO168" i="100"/>
  <c r="AF169" i="100"/>
  <c r="AN169" i="100"/>
  <c r="AE170" i="100"/>
  <c r="AM170" i="100"/>
  <c r="AD172" i="100"/>
  <c r="AD176" i="100"/>
  <c r="AL172" i="100"/>
  <c r="AL176" i="100"/>
  <c r="AC173" i="100"/>
  <c r="AK173" i="100"/>
  <c r="AB174" i="100"/>
  <c r="AJ174" i="100"/>
  <c r="AA175" i="100"/>
  <c r="AI175" i="100"/>
  <c r="Z177" i="100"/>
  <c r="Z181" i="100"/>
  <c r="AH177" i="100"/>
  <c r="AH181" i="100"/>
  <c r="Y178" i="100"/>
  <c r="AG178" i="100"/>
  <c r="AO178" i="100"/>
  <c r="AF179" i="100"/>
  <c r="AN179" i="100"/>
  <c r="AE180" i="100"/>
  <c r="AM180" i="100"/>
  <c r="AD182" i="100"/>
  <c r="AD186" i="100"/>
  <c r="AL182" i="100"/>
  <c r="AL186" i="100"/>
  <c r="AC183" i="100"/>
  <c r="AK183" i="100"/>
  <c r="AB184" i="100"/>
  <c r="AJ184" i="100"/>
  <c r="AA185" i="100"/>
  <c r="AI185" i="100"/>
  <c r="Z187" i="100"/>
  <c r="Z191" i="100"/>
  <c r="AH187" i="100"/>
  <c r="AH191" i="100"/>
  <c r="Y188" i="100"/>
  <c r="AG188" i="100"/>
  <c r="AO188" i="100"/>
  <c r="AF189" i="100"/>
  <c r="AN189" i="100"/>
  <c r="AE190" i="100"/>
  <c r="AM190" i="100"/>
  <c r="AD192" i="100"/>
  <c r="AD196" i="100"/>
  <c r="AL192" i="100"/>
  <c r="AL196" i="100"/>
  <c r="AC193" i="100"/>
  <c r="AK193" i="100"/>
  <c r="AB194" i="100"/>
  <c r="AJ194" i="100"/>
  <c r="AA195" i="100"/>
  <c r="AI195" i="100"/>
  <c r="G199" i="100"/>
  <c r="Z197" i="100"/>
  <c r="Z201" i="100"/>
  <c r="O198" i="100"/>
  <c r="Y198" i="100"/>
  <c r="Z202" i="100"/>
  <c r="Z206" i="100"/>
  <c r="O204" i="100"/>
  <c r="Y203" i="100"/>
  <c r="Z207" i="100"/>
  <c r="Z211" i="100"/>
  <c r="AH207" i="100"/>
  <c r="AH211" i="100"/>
  <c r="Y208" i="100"/>
  <c r="AG208" i="100"/>
  <c r="AO208" i="100"/>
  <c r="AF209" i="100"/>
  <c r="AN209" i="100"/>
  <c r="AE210" i="100"/>
  <c r="AM210" i="100"/>
  <c r="AC164" i="100"/>
  <c r="AK164" i="100"/>
  <c r="AB165" i="100"/>
  <c r="AJ165" i="100"/>
  <c r="AA167" i="100"/>
  <c r="AA171" i="100"/>
  <c r="AI167" i="100"/>
  <c r="AI171" i="100"/>
  <c r="Y169" i="100"/>
  <c r="AG169" i="100"/>
  <c r="AO169" i="100"/>
  <c r="AF170" i="100"/>
  <c r="AN170" i="100"/>
  <c r="AE172" i="100"/>
  <c r="AE176" i="100"/>
  <c r="AM172" i="100"/>
  <c r="AM176" i="100"/>
  <c r="AC174" i="100"/>
  <c r="AK174" i="100"/>
  <c r="AB175" i="100"/>
  <c r="AJ175" i="100"/>
  <c r="AA177" i="100"/>
  <c r="AA181" i="100"/>
  <c r="AI177" i="100"/>
  <c r="AI181" i="100"/>
  <c r="Y179" i="100"/>
  <c r="AG179" i="100"/>
  <c r="AO179" i="100"/>
  <c r="AF180" i="100"/>
  <c r="AN180" i="100"/>
  <c r="AE182" i="100"/>
  <c r="AE186" i="100"/>
  <c r="AM182" i="100"/>
  <c r="AM186" i="100"/>
  <c r="AC184" i="100"/>
  <c r="AK184" i="100"/>
  <c r="AB185" i="100"/>
  <c r="AJ185" i="100"/>
  <c r="AA187" i="100"/>
  <c r="AA191" i="100"/>
  <c r="AI187" i="100"/>
  <c r="AI191" i="100"/>
  <c r="Y189" i="100"/>
  <c r="AG189" i="100"/>
  <c r="AO189" i="100"/>
  <c r="AF190" i="100"/>
  <c r="AN190" i="100"/>
  <c r="AE192" i="100"/>
  <c r="AE196" i="100"/>
  <c r="AM192" i="100"/>
  <c r="AM196" i="100"/>
  <c r="AC194" i="100"/>
  <c r="AK194" i="100"/>
  <c r="AB195" i="100"/>
  <c r="AJ195" i="100"/>
  <c r="P199" i="100"/>
  <c r="Z198" i="100"/>
  <c r="H204" i="100"/>
  <c r="Z203" i="100"/>
  <c r="AA207" i="100"/>
  <c r="AA211" i="100"/>
  <c r="AI207" i="100"/>
  <c r="AI211" i="100"/>
  <c r="Y209" i="100"/>
  <c r="AG209" i="100"/>
  <c r="AO209" i="100"/>
  <c r="AF210" i="100"/>
  <c r="AN210" i="100"/>
  <c r="AI148" i="100"/>
  <c r="Z149" i="100"/>
  <c r="AH149" i="100"/>
  <c r="Y150" i="100"/>
  <c r="AG150" i="100"/>
  <c r="AO150" i="100"/>
  <c r="AF152" i="100"/>
  <c r="AF156" i="100"/>
  <c r="AN152" i="100"/>
  <c r="AN156" i="100"/>
  <c r="AE153" i="100"/>
  <c r="AM153" i="100"/>
  <c r="AD154" i="100"/>
  <c r="AL154" i="100"/>
  <c r="AC155" i="100"/>
  <c r="AK155" i="100"/>
  <c r="AB157" i="100"/>
  <c r="AB161" i="100"/>
  <c r="AJ157" i="100"/>
  <c r="AJ161" i="100"/>
  <c r="AA158" i="100"/>
  <c r="AI158" i="100"/>
  <c r="Z159" i="100"/>
  <c r="AH159" i="100"/>
  <c r="Y160" i="100"/>
  <c r="AG160" i="100"/>
  <c r="AO160" i="100"/>
  <c r="AF162" i="100"/>
  <c r="AF166" i="100"/>
  <c r="AN162" i="100"/>
  <c r="AN166" i="100"/>
  <c r="AE163" i="100"/>
  <c r="AM163" i="100"/>
  <c r="AD164" i="100"/>
  <c r="AL164" i="100"/>
  <c r="AC165" i="100"/>
  <c r="AK165" i="100"/>
  <c r="AB167" i="100"/>
  <c r="AB171" i="100"/>
  <c r="AJ167" i="100"/>
  <c r="AJ171" i="100"/>
  <c r="AA168" i="100"/>
  <c r="AI168" i="100"/>
  <c r="Z169" i="100"/>
  <c r="AH169" i="100"/>
  <c r="Y170" i="100"/>
  <c r="AG170" i="100"/>
  <c r="AO170" i="100"/>
  <c r="AF172" i="100"/>
  <c r="AF176" i="100"/>
  <c r="AN172" i="100"/>
  <c r="AN176" i="100"/>
  <c r="AE173" i="100"/>
  <c r="AM173" i="100"/>
  <c r="AD174" i="100"/>
  <c r="AL174" i="100"/>
  <c r="AC175" i="100"/>
  <c r="AK175" i="100"/>
  <c r="AB177" i="100"/>
  <c r="AB181" i="100"/>
  <c r="AJ177" i="100"/>
  <c r="AJ181" i="100"/>
  <c r="AA178" i="100"/>
  <c r="AI178" i="100"/>
  <c r="Z179" i="100"/>
  <c r="AH179" i="100"/>
  <c r="Y180" i="100"/>
  <c r="AG180" i="100"/>
  <c r="AO180" i="100"/>
  <c r="AF182" i="100"/>
  <c r="AF186" i="100"/>
  <c r="AN182" i="100"/>
  <c r="AN186" i="100"/>
  <c r="AE183" i="100"/>
  <c r="AM183" i="100"/>
  <c r="AD184" i="100"/>
  <c r="AL184" i="100"/>
  <c r="AC185" i="100"/>
  <c r="AK185" i="100"/>
  <c r="AB187" i="100"/>
  <c r="AB191" i="100"/>
  <c r="AJ187" i="100"/>
  <c r="AJ191" i="100"/>
  <c r="AA188" i="100"/>
  <c r="AI188" i="100"/>
  <c r="Z189" i="100"/>
  <c r="AH189" i="100"/>
  <c r="Y190" i="100"/>
  <c r="AG190" i="100"/>
  <c r="AO190" i="100"/>
  <c r="AF192" i="100"/>
  <c r="AF196" i="100"/>
  <c r="AN192" i="100"/>
  <c r="AN196" i="100"/>
  <c r="AE193" i="100"/>
  <c r="AM193" i="100"/>
  <c r="AD194" i="100"/>
  <c r="AL194" i="100"/>
  <c r="AC195" i="100"/>
  <c r="AK195" i="100"/>
  <c r="I198" i="100"/>
  <c r="Q198" i="100"/>
  <c r="AO198" i="100"/>
  <c r="I203" i="100"/>
  <c r="Q203" i="100"/>
  <c r="AO203" i="100"/>
  <c r="AB207" i="100"/>
  <c r="AB211" i="100"/>
  <c r="AJ207" i="100"/>
  <c r="AJ211" i="100"/>
  <c r="AA208" i="100"/>
  <c r="AI208" i="100"/>
  <c r="Z209" i="100"/>
  <c r="AH209" i="100"/>
  <c r="Y210" i="100"/>
  <c r="AG210" i="100"/>
  <c r="AO210" i="100"/>
  <c r="AN153" i="100"/>
  <c r="AE154" i="100"/>
  <c r="AM154" i="100"/>
  <c r="AD155" i="100"/>
  <c r="AL155" i="100"/>
  <c r="AC157" i="100"/>
  <c r="AC161" i="100"/>
  <c r="AK157" i="100"/>
  <c r="AK161" i="100"/>
  <c r="AB158" i="100"/>
  <c r="AJ158" i="100"/>
  <c r="AA159" i="100"/>
  <c r="AI159" i="100"/>
  <c r="Z160" i="100"/>
  <c r="AH160" i="100"/>
  <c r="Y162" i="100"/>
  <c r="Y166" i="100"/>
  <c r="AG162" i="100"/>
  <c r="AG166" i="100"/>
  <c r="AO162" i="100"/>
  <c r="AO166" i="100"/>
  <c r="AF163" i="100"/>
  <c r="AN163" i="100"/>
  <c r="AE164" i="100"/>
  <c r="AM164" i="100"/>
  <c r="AD165" i="100"/>
  <c r="AL165" i="100"/>
  <c r="AC167" i="100"/>
  <c r="AC171" i="100"/>
  <c r="AK167" i="100"/>
  <c r="AK171" i="100"/>
  <c r="AB168" i="100"/>
  <c r="AJ168" i="100"/>
  <c r="AA169" i="100"/>
  <c r="AI169" i="100"/>
  <c r="Z170" i="100"/>
  <c r="AH170" i="100"/>
  <c r="Y172" i="100"/>
  <c r="Y176" i="100"/>
  <c r="AG172" i="100"/>
  <c r="AG176" i="100"/>
  <c r="AO172" i="100"/>
  <c r="AO176" i="100"/>
  <c r="AF173" i="100"/>
  <c r="AN173" i="100"/>
  <c r="AE174" i="100"/>
  <c r="AM174" i="100"/>
  <c r="AD175" i="100"/>
  <c r="AL175" i="100"/>
  <c r="AC177" i="100"/>
  <c r="AC181" i="100"/>
  <c r="AK177" i="100"/>
  <c r="AK181" i="100"/>
  <c r="AB178" i="100"/>
  <c r="AJ178" i="100"/>
  <c r="AA179" i="100"/>
  <c r="AI179" i="100"/>
  <c r="Z180" i="100"/>
  <c r="AH180" i="100"/>
  <c r="Y182" i="100"/>
  <c r="Y186" i="100"/>
  <c r="AG182" i="100"/>
  <c r="AG186" i="100"/>
  <c r="AO182" i="100"/>
  <c r="AO186" i="100"/>
  <c r="AF183" i="100"/>
  <c r="AN183" i="100"/>
  <c r="AE184" i="100"/>
  <c r="AM184" i="100"/>
  <c r="AD185" i="100"/>
  <c r="AL185" i="100"/>
  <c r="AC187" i="100"/>
  <c r="AC191" i="100"/>
  <c r="AK187" i="100"/>
  <c r="AK191" i="100"/>
  <c r="AB188" i="100"/>
  <c r="AJ188" i="100"/>
  <c r="AA189" i="100"/>
  <c r="AI189" i="100"/>
  <c r="Z190" i="100"/>
  <c r="AH190" i="100"/>
  <c r="Y192" i="100"/>
  <c r="Y196" i="100"/>
  <c r="AG192" i="100"/>
  <c r="AG196" i="100"/>
  <c r="AO192" i="100"/>
  <c r="AO196" i="100"/>
  <c r="AF193" i="100"/>
  <c r="AN193" i="100"/>
  <c r="AE194" i="100"/>
  <c r="AM194" i="100"/>
  <c r="AD195" i="100"/>
  <c r="AL195" i="100"/>
  <c r="J199" i="100"/>
  <c r="R198" i="100"/>
  <c r="Y199" i="100"/>
  <c r="J203" i="100"/>
  <c r="Y204" i="100"/>
  <c r="AC207" i="100"/>
  <c r="AC211" i="100"/>
  <c r="AK207" i="100"/>
  <c r="AK211" i="100"/>
  <c r="AB208" i="100"/>
  <c r="AJ208" i="100"/>
  <c r="AA209" i="100"/>
  <c r="AI209" i="100"/>
  <c r="Z210" i="100"/>
  <c r="AH210" i="100"/>
  <c r="AN154" i="100"/>
  <c r="AE155" i="100"/>
  <c r="AM155" i="100"/>
  <c r="AD157" i="100"/>
  <c r="AD161" i="100"/>
  <c r="AL157" i="100"/>
  <c r="AL161" i="100"/>
  <c r="AC158" i="100"/>
  <c r="AK158" i="100"/>
  <c r="AB159" i="100"/>
  <c r="AJ159" i="100"/>
  <c r="AA160" i="100"/>
  <c r="AI160" i="100"/>
  <c r="Z162" i="100"/>
  <c r="Z166" i="100"/>
  <c r="AH162" i="100"/>
  <c r="AH166" i="100"/>
  <c r="Y163" i="100"/>
  <c r="AG163" i="100"/>
  <c r="AO163" i="100"/>
  <c r="AF164" i="100"/>
  <c r="AN164" i="100"/>
  <c r="AE165" i="100"/>
  <c r="AM165" i="100"/>
  <c r="AD167" i="100"/>
  <c r="AD171" i="100"/>
  <c r="AL167" i="100"/>
  <c r="AL171" i="100"/>
  <c r="AC168" i="100"/>
  <c r="AK168" i="100"/>
  <c r="AB169" i="100"/>
  <c r="AJ169" i="100"/>
  <c r="AA170" i="100"/>
  <c r="AI170" i="100"/>
  <c r="Z172" i="100"/>
  <c r="Z176" i="100"/>
  <c r="AH172" i="100"/>
  <c r="AH176" i="100"/>
  <c r="Y173" i="100"/>
  <c r="AG173" i="100"/>
  <c r="AO173" i="100"/>
  <c r="AF174" i="100"/>
  <c r="AN174" i="100"/>
  <c r="AE175" i="100"/>
  <c r="AM175" i="100"/>
  <c r="AD177" i="100"/>
  <c r="AD181" i="100"/>
  <c r="AL177" i="100"/>
  <c r="AL181" i="100"/>
  <c r="AC178" i="100"/>
  <c r="AK178" i="100"/>
  <c r="AB179" i="100"/>
  <c r="AJ179" i="100"/>
  <c r="AA180" i="100"/>
  <c r="AI180" i="100"/>
  <c r="Z182" i="100"/>
  <c r="Z186" i="100"/>
  <c r="AH182" i="100"/>
  <c r="AH186" i="100"/>
  <c r="Y183" i="100"/>
  <c r="AG183" i="100"/>
  <c r="AO183" i="100"/>
  <c r="AF184" i="100"/>
  <c r="AN184" i="100"/>
  <c r="AE185" i="100"/>
  <c r="AM185" i="100"/>
  <c r="AD187" i="100"/>
  <c r="AD191" i="100"/>
  <c r="AL187" i="100"/>
  <c r="AL191" i="100"/>
  <c r="AC188" i="100"/>
  <c r="AK188" i="100"/>
  <c r="AB189" i="100"/>
  <c r="AJ189" i="100"/>
  <c r="AA190" i="100"/>
  <c r="AI190" i="100"/>
  <c r="Z192" i="100"/>
  <c r="Z196" i="100"/>
  <c r="AH192" i="100"/>
  <c r="AH196" i="100"/>
  <c r="Y193" i="100"/>
  <c r="AG193" i="100"/>
  <c r="AO193" i="100"/>
  <c r="AF194" i="100"/>
  <c r="AN194" i="100"/>
  <c r="AE195" i="100"/>
  <c r="AM195" i="100"/>
  <c r="Z199" i="100"/>
  <c r="K203" i="100"/>
  <c r="S204" i="100"/>
  <c r="Z204" i="100"/>
  <c r="AD207" i="100"/>
  <c r="AD211" i="100"/>
  <c r="AL207" i="100"/>
  <c r="AL211" i="100"/>
  <c r="AC208" i="100"/>
  <c r="AK208" i="100"/>
  <c r="AB209" i="100"/>
  <c r="AJ209" i="100"/>
  <c r="AA210" i="100"/>
  <c r="AI210" i="100"/>
  <c r="AI162" i="100"/>
  <c r="AI166" i="100"/>
  <c r="Z163" i="100"/>
  <c r="AH163" i="100"/>
  <c r="Y164" i="100"/>
  <c r="AG164" i="100"/>
  <c r="AO164" i="100"/>
  <c r="AE167" i="100"/>
  <c r="AE171" i="100"/>
  <c r="AM167" i="100"/>
  <c r="AM171" i="100"/>
  <c r="AD168" i="100"/>
  <c r="AL168" i="100"/>
  <c r="AC169" i="100"/>
  <c r="AK169" i="100"/>
  <c r="AA172" i="100"/>
  <c r="AA176" i="100"/>
  <c r="AI172" i="100"/>
  <c r="AI176" i="100"/>
  <c r="Z173" i="100"/>
  <c r="AH173" i="100"/>
  <c r="Y174" i="100"/>
  <c r="AG174" i="100"/>
  <c r="AO174" i="100"/>
  <c r="AE177" i="100"/>
  <c r="AE181" i="100"/>
  <c r="AM177" i="100"/>
  <c r="AM181" i="100"/>
  <c r="AD178" i="100"/>
  <c r="AL178" i="100"/>
  <c r="AC179" i="100"/>
  <c r="AK179" i="100"/>
  <c r="AA182" i="100"/>
  <c r="AA186" i="100"/>
  <c r="AI182" i="100"/>
  <c r="AI186" i="100"/>
  <c r="Z183" i="100"/>
  <c r="AH183" i="100"/>
  <c r="Y184" i="100"/>
  <c r="AG184" i="100"/>
  <c r="AO184" i="100"/>
  <c r="AE187" i="100"/>
  <c r="AE191" i="100"/>
  <c r="AM187" i="100"/>
  <c r="AM191" i="100"/>
  <c r="AD188" i="100"/>
  <c r="AL188" i="100"/>
  <c r="AC189" i="100"/>
  <c r="AK189" i="100"/>
  <c r="AA192" i="100"/>
  <c r="AA196" i="100"/>
  <c r="AI192" i="100"/>
  <c r="AI196" i="100"/>
  <c r="Z193" i="100"/>
  <c r="AH193" i="100"/>
  <c r="Y194" i="100"/>
  <c r="AG194" i="100"/>
  <c r="AO194" i="100"/>
  <c r="L199" i="100"/>
  <c r="AO199" i="100"/>
  <c r="L204" i="100"/>
  <c r="AO204" i="100"/>
  <c r="AE207" i="100"/>
  <c r="AE211" i="100"/>
  <c r="AM207" i="100"/>
  <c r="AM211" i="100"/>
  <c r="AD208" i="100"/>
  <c r="AL208" i="100"/>
  <c r="AC209" i="100"/>
  <c r="AK209" i="100"/>
  <c r="AF177" i="100"/>
  <c r="AF181" i="100"/>
  <c r="AN177" i="100"/>
  <c r="AN181" i="100"/>
  <c r="AE178" i="100"/>
  <c r="AM178" i="100"/>
  <c r="AD179" i="100"/>
  <c r="AL179" i="100"/>
  <c r="AB182" i="100"/>
  <c r="AB186" i="100"/>
  <c r="AJ182" i="100"/>
  <c r="AJ186" i="100"/>
  <c r="AA183" i="100"/>
  <c r="AI183" i="100"/>
  <c r="Z184" i="100"/>
  <c r="AH184" i="100"/>
  <c r="AF187" i="100"/>
  <c r="AF191" i="100"/>
  <c r="AN187" i="100"/>
  <c r="AN191" i="100"/>
  <c r="AE188" i="100"/>
  <c r="AM188" i="100"/>
  <c r="AD189" i="100"/>
  <c r="AL189" i="100"/>
  <c r="AB192" i="100"/>
  <c r="AB196" i="100"/>
  <c r="AJ192" i="100"/>
  <c r="AJ196" i="100"/>
  <c r="AA193" i="100"/>
  <c r="AI193" i="100"/>
  <c r="Z194" i="100"/>
  <c r="AH194" i="100"/>
  <c r="M198" i="100"/>
  <c r="Y200" i="100"/>
  <c r="AO200" i="100"/>
  <c r="M203" i="100"/>
  <c r="Y205" i="100"/>
  <c r="AO205" i="100"/>
  <c r="AF207" i="100"/>
  <c r="AF211" i="100"/>
  <c r="AN207" i="100"/>
  <c r="AN211" i="100"/>
  <c r="AE208" i="100"/>
  <c r="AM208" i="100"/>
  <c r="AD209" i="100"/>
  <c r="AL209" i="100"/>
  <c r="AE131" i="100"/>
  <c r="AM131" i="100"/>
  <c r="AE78" i="100"/>
  <c r="AM78" i="100"/>
  <c r="AD79" i="100"/>
  <c r="AL79" i="100"/>
  <c r="AB83" i="100"/>
  <c r="AJ83" i="100"/>
  <c r="AA84" i="100"/>
  <c r="AI84" i="100"/>
  <c r="Z85" i="100"/>
  <c r="AH85" i="100"/>
  <c r="AF88" i="100"/>
  <c r="AN88" i="100"/>
  <c r="AE89" i="100"/>
  <c r="AM89" i="100"/>
  <c r="AD90" i="100"/>
  <c r="AL90" i="100"/>
  <c r="AB93" i="100"/>
  <c r="AJ93" i="100"/>
  <c r="AA94" i="100"/>
  <c r="AI94" i="100"/>
  <c r="Z95" i="100"/>
  <c r="AH95" i="100"/>
  <c r="AF98" i="100"/>
  <c r="AN98" i="100"/>
  <c r="AE99" i="100"/>
  <c r="AM99" i="100"/>
  <c r="AD100" i="100"/>
  <c r="AL100" i="100"/>
  <c r="AB103" i="100"/>
  <c r="AJ103" i="100"/>
  <c r="AA104" i="100"/>
  <c r="AI104" i="100"/>
  <c r="Z105" i="100"/>
  <c r="AH105" i="100"/>
  <c r="AG109" i="100"/>
  <c r="Y110" i="100"/>
  <c r="AH110" i="100"/>
  <c r="AG113" i="100"/>
  <c r="AO113" i="100"/>
  <c r="AF114" i="100"/>
  <c r="AN114" i="100"/>
  <c r="AE115" i="100"/>
  <c r="AM115" i="100"/>
  <c r="AC118" i="100"/>
  <c r="AK118" i="100"/>
  <c r="AB119" i="100"/>
  <c r="AJ119" i="100"/>
  <c r="AA120" i="100"/>
  <c r="AI120" i="100"/>
  <c r="Y123" i="100"/>
  <c r="AG123" i="100"/>
  <c r="AO123" i="100"/>
  <c r="AF124" i="100"/>
  <c r="AN124" i="100"/>
  <c r="AE125" i="100"/>
  <c r="AM125" i="100"/>
  <c r="Y133" i="100"/>
  <c r="AG133" i="100"/>
  <c r="AO133" i="100"/>
  <c r="AF134" i="100"/>
  <c r="AN134" i="100"/>
  <c r="AE135" i="100"/>
  <c r="AM135" i="100"/>
  <c r="AC138" i="100"/>
  <c r="AK138" i="100"/>
  <c r="AB139" i="100"/>
  <c r="AJ139" i="100"/>
  <c r="AA140" i="100"/>
  <c r="AI140" i="100"/>
  <c r="AA123" i="100"/>
  <c r="AI123" i="100"/>
  <c r="AA133" i="100"/>
  <c r="AI133" i="100"/>
  <c r="AE138" i="100"/>
  <c r="AM138" i="100"/>
  <c r="Z78" i="100"/>
  <c r="AH78" i="100"/>
  <c r="Y79" i="100"/>
  <c r="AG79" i="100"/>
  <c r="AO79" i="100"/>
  <c r="AE83" i="100"/>
  <c r="AM83" i="100"/>
  <c r="AD84" i="100"/>
  <c r="AL84" i="100"/>
  <c r="AA88" i="100"/>
  <c r="AI88" i="100"/>
  <c r="Z89" i="100"/>
  <c r="AH89" i="100"/>
  <c r="AE93" i="100"/>
  <c r="AM93" i="100"/>
  <c r="AD94" i="100"/>
  <c r="AL94" i="100"/>
  <c r="AA98" i="100"/>
  <c r="AI98" i="100"/>
  <c r="Z99" i="100"/>
  <c r="AH99" i="100"/>
  <c r="AE103" i="100"/>
  <c r="AM103" i="100"/>
  <c r="AD104" i="100"/>
  <c r="AL104" i="100"/>
  <c r="AJ109" i="100"/>
  <c r="AB110" i="100"/>
  <c r="AK110" i="100"/>
  <c r="AB113" i="100"/>
  <c r="AJ113" i="100"/>
  <c r="AA114" i="100"/>
  <c r="AI114" i="100"/>
  <c r="AF118" i="100"/>
  <c r="AN118" i="100"/>
  <c r="AE119" i="100"/>
  <c r="AM119" i="100"/>
  <c r="AB123" i="100"/>
  <c r="AD131" i="100"/>
  <c r="AL131" i="100"/>
  <c r="AC79" i="100"/>
  <c r="AK79" i="100"/>
  <c r="Y85" i="100"/>
  <c r="AG85" i="100"/>
  <c r="AO85" i="100"/>
  <c r="AK90" i="100"/>
  <c r="AC100" i="100"/>
  <c r="AK100" i="100"/>
  <c r="AG105" i="100"/>
  <c r="AO105" i="100"/>
  <c r="Z140" i="100"/>
  <c r="AH140" i="100"/>
  <c r="AN77" i="100"/>
  <c r="AN81" i="100"/>
  <c r="AD80" i="100"/>
  <c r="AL80" i="100"/>
  <c r="AC82" i="100"/>
  <c r="AC86" i="100"/>
  <c r="AK82" i="100"/>
  <c r="AK86" i="100"/>
  <c r="Y87" i="100"/>
  <c r="Y91" i="100"/>
  <c r="AG87" i="100"/>
  <c r="AG91" i="100"/>
  <c r="AO87" i="100"/>
  <c r="AO91" i="100"/>
  <c r="AC92" i="100"/>
  <c r="AC96" i="100"/>
  <c r="AK92" i="100"/>
  <c r="AK96" i="100"/>
  <c r="Y97" i="100"/>
  <c r="Y101" i="100"/>
  <c r="AG97" i="100"/>
  <c r="AG101" i="100"/>
  <c r="AO97" i="100"/>
  <c r="AO101" i="100"/>
  <c r="AC102" i="100"/>
  <c r="AC106" i="100"/>
  <c r="AK102" i="100"/>
  <c r="AK106" i="100"/>
  <c r="AO107" i="100"/>
  <c r="AO108" i="100"/>
  <c r="AO111" i="100"/>
  <c r="AO109" i="100"/>
  <c r="AF108" i="100"/>
  <c r="AF107" i="100"/>
  <c r="AF111" i="100"/>
  <c r="AN108" i="100"/>
  <c r="AN111" i="100"/>
  <c r="AN107" i="100"/>
  <c r="Z112" i="100"/>
  <c r="Z116" i="100"/>
  <c r="AH112" i="100"/>
  <c r="AH116" i="100"/>
  <c r="AF77" i="100"/>
  <c r="AF81" i="100"/>
  <c r="AF131" i="100"/>
  <c r="AN131" i="100"/>
  <c r="Y77" i="100"/>
  <c r="Y80" i="100"/>
  <c r="Y81" i="100"/>
  <c r="AG77" i="100"/>
  <c r="AG81" i="100"/>
  <c r="AO77" i="100"/>
  <c r="AO81" i="100"/>
  <c r="AF78" i="100"/>
  <c r="AN78" i="100"/>
  <c r="AE79" i="100"/>
  <c r="AM79" i="100"/>
  <c r="AE80" i="100"/>
  <c r="AM80" i="100"/>
  <c r="AD82" i="100"/>
  <c r="AD86" i="100"/>
  <c r="AL82" i="100"/>
  <c r="AL86" i="100"/>
  <c r="AC83" i="100"/>
  <c r="AK83" i="100"/>
  <c r="AB84" i="100"/>
  <c r="AO131" i="100"/>
  <c r="Z77" i="100"/>
  <c r="Z81" i="100"/>
  <c r="AH77" i="100"/>
  <c r="AH81" i="100"/>
  <c r="Y78" i="100"/>
  <c r="AG78" i="100"/>
  <c r="AO78" i="100"/>
  <c r="AF79" i="100"/>
  <c r="AN79" i="100"/>
  <c r="AF80" i="100"/>
  <c r="AN80" i="100"/>
  <c r="AE82" i="100"/>
  <c r="AE86" i="100"/>
  <c r="AM82" i="100"/>
  <c r="AM86" i="100"/>
  <c r="AD83" i="100"/>
  <c r="AL83" i="100"/>
  <c r="AC84" i="100"/>
  <c r="AK84" i="100"/>
  <c r="AB85" i="100"/>
  <c r="AJ85" i="100"/>
  <c r="AA87" i="100"/>
  <c r="AA91" i="100"/>
  <c r="AI87" i="100"/>
  <c r="AI91" i="100"/>
  <c r="Z88" i="100"/>
  <c r="AH88" i="100"/>
  <c r="Y131" i="100"/>
  <c r="AA77" i="100"/>
  <c r="AA81" i="100"/>
  <c r="AI77" i="100"/>
  <c r="AI81" i="100"/>
  <c r="AG80" i="100"/>
  <c r="AO80" i="100"/>
  <c r="AF82" i="100"/>
  <c r="AF86" i="100"/>
  <c r="AN82" i="100"/>
  <c r="AN86" i="100"/>
  <c r="AC85" i="100"/>
  <c r="AK85" i="100"/>
  <c r="AB87" i="100"/>
  <c r="AB91" i="100"/>
  <c r="AJ87" i="100"/>
  <c r="AJ91" i="100"/>
  <c r="Y90" i="100"/>
  <c r="AG90" i="100"/>
  <c r="AO90" i="100"/>
  <c r="AF92" i="100"/>
  <c r="AF96" i="100"/>
  <c r="AN92" i="100"/>
  <c r="AN96" i="100"/>
  <c r="AC95" i="100"/>
  <c r="AK95" i="100"/>
  <c r="AB97" i="100"/>
  <c r="AB101" i="100"/>
  <c r="AG131" i="100"/>
  <c r="AH131" i="100"/>
  <c r="Z131" i="100"/>
  <c r="AI131" i="100"/>
  <c r="AB77" i="100"/>
  <c r="AB81" i="100"/>
  <c r="AJ77" i="100"/>
  <c r="AJ81" i="100"/>
  <c r="AA78" i="100"/>
  <c r="AI78" i="100"/>
  <c r="Z79" i="100"/>
  <c r="AH79" i="100"/>
  <c r="Z80" i="100"/>
  <c r="AH80" i="100"/>
  <c r="Y82" i="100"/>
  <c r="Y86" i="100"/>
  <c r="AG82" i="100"/>
  <c r="AG86" i="100"/>
  <c r="AB131" i="100"/>
  <c r="AJ131" i="100"/>
  <c r="AA131" i="100"/>
  <c r="AC77" i="100"/>
  <c r="AC81" i="100"/>
  <c r="AK77" i="100"/>
  <c r="AK81" i="100"/>
  <c r="AB78" i="100"/>
  <c r="AJ78" i="100"/>
  <c r="AA79" i="100"/>
  <c r="AI79" i="100"/>
  <c r="AA80" i="100"/>
  <c r="AI80" i="100"/>
  <c r="Z82" i="100"/>
  <c r="Z86" i="100"/>
  <c r="AH82" i="100"/>
  <c r="AH86" i="100"/>
  <c r="Y83" i="100"/>
  <c r="AC131" i="100"/>
  <c r="AK131" i="100"/>
  <c r="AD77" i="100"/>
  <c r="AD81" i="100"/>
  <c r="AL77" i="100"/>
  <c r="AL81" i="100"/>
  <c r="AC78" i="100"/>
  <c r="AK78" i="100"/>
  <c r="AB79" i="100"/>
  <c r="AJ79" i="100"/>
  <c r="AB80" i="100"/>
  <c r="AJ80" i="100"/>
  <c r="AA82" i="100"/>
  <c r="AA86" i="100"/>
  <c r="AI82" i="100"/>
  <c r="AI86" i="100"/>
  <c r="AE77" i="100"/>
  <c r="AE81" i="100"/>
  <c r="AM77" i="100"/>
  <c r="AM81" i="100"/>
  <c r="AD78" i="100"/>
  <c r="AL78" i="100"/>
  <c r="AC80" i="100"/>
  <c r="AK80" i="100"/>
  <c r="AB82" i="100"/>
  <c r="AB86" i="100"/>
  <c r="AJ82" i="100"/>
  <c r="AJ86" i="100"/>
  <c r="AA83" i="100"/>
  <c r="AI83" i="100"/>
  <c r="Z84" i="100"/>
  <c r="AH84" i="100"/>
  <c r="Y113" i="100"/>
  <c r="Y116" i="100"/>
  <c r="Y112" i="100"/>
  <c r="AD117" i="100"/>
  <c r="AD121" i="100"/>
  <c r="AL117" i="100"/>
  <c r="AL121" i="100"/>
  <c r="Z122" i="100"/>
  <c r="Z126" i="100"/>
  <c r="AH122" i="100"/>
  <c r="AH126" i="100"/>
  <c r="AD127" i="100"/>
  <c r="AL127" i="100"/>
  <c r="AC128" i="100"/>
  <c r="AK128" i="100"/>
  <c r="AB129" i="100"/>
  <c r="AJ129" i="100"/>
  <c r="AA130" i="100"/>
  <c r="AI130" i="100"/>
  <c r="Z132" i="100"/>
  <c r="Z136" i="100"/>
  <c r="AH132" i="100"/>
  <c r="AH136" i="100"/>
  <c r="AD137" i="100"/>
  <c r="AD141" i="100"/>
  <c r="AL137" i="100"/>
  <c r="AL141" i="100"/>
  <c r="AJ84" i="100"/>
  <c r="AA85" i="100"/>
  <c r="AI85" i="100"/>
  <c r="Z87" i="100"/>
  <c r="Z91" i="100"/>
  <c r="AH87" i="100"/>
  <c r="AH91" i="100"/>
  <c r="Y88" i="100"/>
  <c r="AG88" i="100"/>
  <c r="AO88" i="100"/>
  <c r="AF89" i="100"/>
  <c r="AN89" i="100"/>
  <c r="AE90" i="100"/>
  <c r="AM90" i="100"/>
  <c r="AD92" i="100"/>
  <c r="AD96" i="100"/>
  <c r="AL92" i="100"/>
  <c r="AL96" i="100"/>
  <c r="AC93" i="100"/>
  <c r="AK93" i="100"/>
  <c r="AB94" i="100"/>
  <c r="AJ94" i="100"/>
  <c r="AA95" i="100"/>
  <c r="AI95" i="100"/>
  <c r="Z97" i="100"/>
  <c r="Z101" i="100"/>
  <c r="AH97" i="100"/>
  <c r="AH101" i="100"/>
  <c r="Y98" i="100"/>
  <c r="AG98" i="100"/>
  <c r="AO98" i="100"/>
  <c r="AF99" i="100"/>
  <c r="AN99" i="100"/>
  <c r="AE100" i="100"/>
  <c r="AM100" i="100"/>
  <c r="AD102" i="100"/>
  <c r="AD106" i="100"/>
  <c r="AL102" i="100"/>
  <c r="AL106" i="100"/>
  <c r="AC103" i="100"/>
  <c r="AK103" i="100"/>
  <c r="AB104" i="100"/>
  <c r="AJ104" i="100"/>
  <c r="AA105" i="100"/>
  <c r="AI105" i="100"/>
  <c r="Y108" i="100"/>
  <c r="Y107" i="100"/>
  <c r="Y111" i="100"/>
  <c r="AG108" i="100"/>
  <c r="AG111" i="100"/>
  <c r="AG107" i="100"/>
  <c r="Y109" i="100"/>
  <c r="AH109" i="100"/>
  <c r="Z110" i="100"/>
  <c r="AI110" i="100"/>
  <c r="AA112" i="100"/>
  <c r="AA116" i="100"/>
  <c r="AI112" i="100"/>
  <c r="AI116" i="100"/>
  <c r="Z113" i="100"/>
  <c r="AH113" i="100"/>
  <c r="Y114" i="100"/>
  <c r="AG114" i="100"/>
  <c r="AO114" i="100"/>
  <c r="AF115" i="100"/>
  <c r="AN115" i="100"/>
  <c r="AE117" i="100"/>
  <c r="AE121" i="100"/>
  <c r="AM117" i="100"/>
  <c r="AM121" i="100"/>
  <c r="AD118" i="100"/>
  <c r="AL118" i="100"/>
  <c r="AC119" i="100"/>
  <c r="AK119" i="100"/>
  <c r="AB120" i="100"/>
  <c r="AJ120" i="100"/>
  <c r="AA122" i="100"/>
  <c r="AA126" i="100"/>
  <c r="AI122" i="100"/>
  <c r="AI126" i="100"/>
  <c r="Z123" i="100"/>
  <c r="AH123" i="100"/>
  <c r="Y124" i="100"/>
  <c r="AG124" i="100"/>
  <c r="AO124" i="100"/>
  <c r="AF125" i="100"/>
  <c r="AN125" i="100"/>
  <c r="AE127" i="100"/>
  <c r="AM127" i="100"/>
  <c r="AD128" i="100"/>
  <c r="AL128" i="100"/>
  <c r="AC129" i="100"/>
  <c r="AK129" i="100"/>
  <c r="AB130" i="100"/>
  <c r="AJ130" i="100"/>
  <c r="AA132" i="100"/>
  <c r="AA136" i="100"/>
  <c r="AI132" i="100"/>
  <c r="AI136" i="100"/>
  <c r="Z133" i="100"/>
  <c r="AH133" i="100"/>
  <c r="Y134" i="100"/>
  <c r="AG134" i="100"/>
  <c r="AO134" i="100"/>
  <c r="AF135" i="100"/>
  <c r="AN135" i="100"/>
  <c r="AE137" i="100"/>
  <c r="AE141" i="100"/>
  <c r="AM137" i="100"/>
  <c r="AM141" i="100"/>
  <c r="AD138" i="100"/>
  <c r="AL138" i="100"/>
  <c r="AC139" i="100"/>
  <c r="AK139" i="100"/>
  <c r="AB140" i="100"/>
  <c r="AJ140" i="100"/>
  <c r="Y89" i="100"/>
  <c r="AG89" i="100"/>
  <c r="AO89" i="100"/>
  <c r="AF90" i="100"/>
  <c r="AN90" i="100"/>
  <c r="AE92" i="100"/>
  <c r="AE96" i="100"/>
  <c r="AM92" i="100"/>
  <c r="AM96" i="100"/>
  <c r="AD93" i="100"/>
  <c r="AL93" i="100"/>
  <c r="AC94" i="100"/>
  <c r="AK94" i="100"/>
  <c r="AB95" i="100"/>
  <c r="AJ95" i="100"/>
  <c r="AA97" i="100"/>
  <c r="AA101" i="100"/>
  <c r="AI97" i="100"/>
  <c r="AI101" i="100"/>
  <c r="Z98" i="100"/>
  <c r="AH98" i="100"/>
  <c r="Y99" i="100"/>
  <c r="AG99" i="100"/>
  <c r="AO99" i="100"/>
  <c r="AF100" i="100"/>
  <c r="AN100" i="100"/>
  <c r="AE102" i="100"/>
  <c r="AE106" i="100"/>
  <c r="AM102" i="100"/>
  <c r="AM106" i="100"/>
  <c r="AD103" i="100"/>
  <c r="AL103" i="100"/>
  <c r="AC104" i="100"/>
  <c r="AK104" i="100"/>
  <c r="AB105" i="100"/>
  <c r="AJ105" i="100"/>
  <c r="Z108" i="100"/>
  <c r="Z107" i="100"/>
  <c r="Z111" i="100"/>
  <c r="AH108" i="100"/>
  <c r="AH107" i="100"/>
  <c r="AH111" i="100"/>
  <c r="Z109" i="100"/>
  <c r="AI109" i="100"/>
  <c r="AA110" i="100"/>
  <c r="AJ110" i="100"/>
  <c r="AB112" i="100"/>
  <c r="AB116" i="100"/>
  <c r="AJ112" i="100"/>
  <c r="AJ116" i="100"/>
  <c r="AA113" i="100"/>
  <c r="AI113" i="100"/>
  <c r="Z114" i="100"/>
  <c r="AH114" i="100"/>
  <c r="Y115" i="100"/>
  <c r="AG115" i="100"/>
  <c r="AO115" i="100"/>
  <c r="AF117" i="100"/>
  <c r="AF121" i="100"/>
  <c r="AN117" i="100"/>
  <c r="AN121" i="100"/>
  <c r="AE118" i="100"/>
  <c r="AM118" i="100"/>
  <c r="AD119" i="100"/>
  <c r="AL119" i="100"/>
  <c r="AC120" i="100"/>
  <c r="AK120" i="100"/>
  <c r="AB122" i="100"/>
  <c r="AB126" i="100"/>
  <c r="AJ122" i="100"/>
  <c r="AJ126" i="100"/>
  <c r="Z124" i="100"/>
  <c r="AH124" i="100"/>
  <c r="Y125" i="100"/>
  <c r="AG125" i="100"/>
  <c r="AO125" i="100"/>
  <c r="AF127" i="100"/>
  <c r="AN127" i="100"/>
  <c r="AE128" i="100"/>
  <c r="AM128" i="100"/>
  <c r="AD129" i="100"/>
  <c r="AL129" i="100"/>
  <c r="AC130" i="100"/>
  <c r="AK130" i="100"/>
  <c r="AB132" i="100"/>
  <c r="AB136" i="100"/>
  <c r="AJ132" i="100"/>
  <c r="AJ136" i="100"/>
  <c r="Z134" i="100"/>
  <c r="AH134" i="100"/>
  <c r="Y135" i="100"/>
  <c r="AG135" i="100"/>
  <c r="AO135" i="100"/>
  <c r="AF137" i="100"/>
  <c r="AF141" i="100"/>
  <c r="AN137" i="100"/>
  <c r="AN141" i="100"/>
  <c r="AD139" i="100"/>
  <c r="AL139" i="100"/>
  <c r="AC140" i="100"/>
  <c r="AK140" i="100"/>
  <c r="AJ97" i="100"/>
  <c r="AJ101" i="100"/>
  <c r="Y100" i="100"/>
  <c r="AG100" i="100"/>
  <c r="AO100" i="100"/>
  <c r="AF102" i="100"/>
  <c r="AF106" i="100"/>
  <c r="AN102" i="100"/>
  <c r="AN106" i="100"/>
  <c r="AC105" i="100"/>
  <c r="AK105" i="100"/>
  <c r="AA108" i="100"/>
  <c r="AA107" i="100"/>
  <c r="AA111" i="100"/>
  <c r="AI108" i="100"/>
  <c r="AI107" i="100"/>
  <c r="AI111" i="100"/>
  <c r="AA109" i="100"/>
  <c r="AC112" i="100"/>
  <c r="AC116" i="100"/>
  <c r="AK112" i="100"/>
  <c r="AK116" i="100"/>
  <c r="Z115" i="100"/>
  <c r="AH115" i="100"/>
  <c r="Y117" i="100"/>
  <c r="Y121" i="100"/>
  <c r="AG117" i="100"/>
  <c r="AG121" i="100"/>
  <c r="AO117" i="100"/>
  <c r="AO121" i="100"/>
  <c r="AD120" i="100"/>
  <c r="AL120" i="100"/>
  <c r="AC122" i="100"/>
  <c r="AC126" i="100"/>
  <c r="AK122" i="100"/>
  <c r="AK126" i="100"/>
  <c r="AJ123" i="100"/>
  <c r="AA124" i="100"/>
  <c r="AI124" i="100"/>
  <c r="Z125" i="100"/>
  <c r="AH125" i="100"/>
  <c r="Y127" i="100"/>
  <c r="AG127" i="100"/>
  <c r="AO127" i="100"/>
  <c r="AF128" i="100"/>
  <c r="AN128" i="100"/>
  <c r="AE129" i="100"/>
  <c r="AM129" i="100"/>
  <c r="AD130" i="100"/>
  <c r="AL130" i="100"/>
  <c r="AC132" i="100"/>
  <c r="AC136" i="100"/>
  <c r="AK132" i="100"/>
  <c r="AK136" i="100"/>
  <c r="AB133" i="100"/>
  <c r="AJ133" i="100"/>
  <c r="AA134" i="100"/>
  <c r="AI134" i="100"/>
  <c r="Z135" i="100"/>
  <c r="AH135" i="100"/>
  <c r="Y137" i="100"/>
  <c r="Y141" i="100"/>
  <c r="AG137" i="100"/>
  <c r="AG141" i="100"/>
  <c r="AO137" i="100"/>
  <c r="AO141" i="100"/>
  <c r="AF138" i="100"/>
  <c r="AN138" i="100"/>
  <c r="AE139" i="100"/>
  <c r="AM139" i="100"/>
  <c r="AD140" i="100"/>
  <c r="AL140" i="100"/>
  <c r="AO82" i="100"/>
  <c r="AO86" i="100"/>
  <c r="AF83" i="100"/>
  <c r="AN83" i="100"/>
  <c r="AE84" i="100"/>
  <c r="AM84" i="100"/>
  <c r="AD85" i="100"/>
  <c r="AL85" i="100"/>
  <c r="AC87" i="100"/>
  <c r="AC91" i="100"/>
  <c r="AK87" i="100"/>
  <c r="AK91" i="100"/>
  <c r="AB88" i="100"/>
  <c r="AJ88" i="100"/>
  <c r="AA89" i="100"/>
  <c r="AI89" i="100"/>
  <c r="Z90" i="100"/>
  <c r="AH90" i="100"/>
  <c r="Y92" i="100"/>
  <c r="Y96" i="100"/>
  <c r="AG92" i="100"/>
  <c r="AG96" i="100"/>
  <c r="AO92" i="100"/>
  <c r="AO96" i="100"/>
  <c r="AF93" i="100"/>
  <c r="AN93" i="100"/>
  <c r="AE94" i="100"/>
  <c r="AM94" i="100"/>
  <c r="AD95" i="100"/>
  <c r="AL95" i="100"/>
  <c r="AC97" i="100"/>
  <c r="AC101" i="100"/>
  <c r="AK97" i="100"/>
  <c r="AK101" i="100"/>
  <c r="AB98" i="100"/>
  <c r="AJ98" i="100"/>
  <c r="AA99" i="100"/>
  <c r="AI99" i="100"/>
  <c r="Z100" i="100"/>
  <c r="AH100" i="100"/>
  <c r="Y102" i="100"/>
  <c r="Y106" i="100"/>
  <c r="AG102" i="100"/>
  <c r="AG106" i="100"/>
  <c r="AO102" i="100"/>
  <c r="AO106" i="100"/>
  <c r="AF103" i="100"/>
  <c r="AN103" i="100"/>
  <c r="AE104" i="100"/>
  <c r="AM104" i="100"/>
  <c r="AD105" i="100"/>
  <c r="AL105" i="100"/>
  <c r="AB108" i="100"/>
  <c r="AB111" i="100"/>
  <c r="AB107" i="100"/>
  <c r="AJ108" i="100"/>
  <c r="AJ107" i="100"/>
  <c r="AJ111" i="100"/>
  <c r="AB109" i="100"/>
  <c r="AK109" i="100"/>
  <c r="AD110" i="100"/>
  <c r="AL110" i="100"/>
  <c r="AD112" i="100"/>
  <c r="AD116" i="100"/>
  <c r="AL112" i="100"/>
  <c r="AL116" i="100"/>
  <c r="AC113" i="100"/>
  <c r="AK113" i="100"/>
  <c r="AB114" i="100"/>
  <c r="AJ114" i="100"/>
  <c r="AA115" i="100"/>
  <c r="AI115" i="100"/>
  <c r="Z117" i="100"/>
  <c r="Z121" i="100"/>
  <c r="AH117" i="100"/>
  <c r="AH121" i="100"/>
  <c r="Y118" i="100"/>
  <c r="AG118" i="100"/>
  <c r="AO118" i="100"/>
  <c r="AF119" i="100"/>
  <c r="AN119" i="100"/>
  <c r="AE120" i="100"/>
  <c r="AM120" i="100"/>
  <c r="AD122" i="100"/>
  <c r="AD126" i="100"/>
  <c r="AL122" i="100"/>
  <c r="AL126" i="100"/>
  <c r="AC123" i="100"/>
  <c r="AK123" i="100"/>
  <c r="AB124" i="100"/>
  <c r="AJ124" i="100"/>
  <c r="AA125" i="100"/>
  <c r="AI125" i="100"/>
  <c r="Z127" i="100"/>
  <c r="AH127" i="100"/>
  <c r="Y128" i="100"/>
  <c r="AG128" i="100"/>
  <c r="AO128" i="100"/>
  <c r="AF129" i="100"/>
  <c r="AN129" i="100"/>
  <c r="AE130" i="100"/>
  <c r="AM130" i="100"/>
  <c r="AD132" i="100"/>
  <c r="AD136" i="100"/>
  <c r="AL132" i="100"/>
  <c r="AL136" i="100"/>
  <c r="AC133" i="100"/>
  <c r="AK133" i="100"/>
  <c r="AB134" i="100"/>
  <c r="AJ134" i="100"/>
  <c r="AA135" i="100"/>
  <c r="AI135" i="100"/>
  <c r="Z137" i="100"/>
  <c r="Z141" i="100"/>
  <c r="AH137" i="100"/>
  <c r="AH141" i="100"/>
  <c r="Y138" i="100"/>
  <c r="AG138" i="100"/>
  <c r="AO138" i="100"/>
  <c r="AF139" i="100"/>
  <c r="AN139" i="100"/>
  <c r="AE140" i="100"/>
  <c r="AM140" i="100"/>
  <c r="AG83" i="100"/>
  <c r="AO83" i="100"/>
  <c r="AF84" i="100"/>
  <c r="AN84" i="100"/>
  <c r="AE85" i="100"/>
  <c r="AM85" i="100"/>
  <c r="AD87" i="100"/>
  <c r="AD91" i="100"/>
  <c r="AL87" i="100"/>
  <c r="AL91" i="100"/>
  <c r="AC88" i="100"/>
  <c r="AK88" i="100"/>
  <c r="AB89" i="100"/>
  <c r="AJ89" i="100"/>
  <c r="AA90" i="100"/>
  <c r="AI90" i="100"/>
  <c r="Z92" i="100"/>
  <c r="Z96" i="100"/>
  <c r="AH92" i="100"/>
  <c r="AH96" i="100"/>
  <c r="Y93" i="100"/>
  <c r="AG93" i="100"/>
  <c r="AO93" i="100"/>
  <c r="AF94" i="100"/>
  <c r="AN94" i="100"/>
  <c r="AE95" i="100"/>
  <c r="AM95" i="100"/>
  <c r="AD97" i="100"/>
  <c r="AD101" i="100"/>
  <c r="AL97" i="100"/>
  <c r="AL101" i="100"/>
  <c r="AC98" i="100"/>
  <c r="AK98" i="100"/>
  <c r="AB99" i="100"/>
  <c r="AJ99" i="100"/>
  <c r="AA100" i="100"/>
  <c r="AI100" i="100"/>
  <c r="Z102" i="100"/>
  <c r="Z106" i="100"/>
  <c r="AH102" i="100"/>
  <c r="AH106" i="100"/>
  <c r="Y103" i="100"/>
  <c r="AG103" i="100"/>
  <c r="AO103" i="100"/>
  <c r="AF104" i="100"/>
  <c r="AN104" i="100"/>
  <c r="AE105" i="100"/>
  <c r="AM105" i="100"/>
  <c r="AC108" i="100"/>
  <c r="AC110" i="100"/>
  <c r="AC111" i="100"/>
  <c r="AC107" i="100"/>
  <c r="AC109" i="100"/>
  <c r="AK108" i="100"/>
  <c r="AK107" i="100"/>
  <c r="AK111" i="100"/>
  <c r="AD109" i="100"/>
  <c r="AL109" i="100"/>
  <c r="AE110" i="100"/>
  <c r="AM110" i="100"/>
  <c r="AE112" i="100"/>
  <c r="AE116" i="100"/>
  <c r="AM112" i="100"/>
  <c r="AM116" i="100"/>
  <c r="AD113" i="100"/>
  <c r="AL113" i="100"/>
  <c r="AC114" i="100"/>
  <c r="AK114" i="100"/>
  <c r="AB115" i="100"/>
  <c r="AJ115" i="100"/>
  <c r="AA117" i="100"/>
  <c r="AA121" i="100"/>
  <c r="AI117" i="100"/>
  <c r="AI121" i="100"/>
  <c r="Z118" i="100"/>
  <c r="AH118" i="100"/>
  <c r="Y119" i="100"/>
  <c r="AG119" i="100"/>
  <c r="AO119" i="100"/>
  <c r="AF120" i="100"/>
  <c r="AN120" i="100"/>
  <c r="AE122" i="100"/>
  <c r="AE126" i="100"/>
  <c r="AM122" i="100"/>
  <c r="AM126" i="100"/>
  <c r="AD123" i="100"/>
  <c r="AL123" i="100"/>
  <c r="AC124" i="100"/>
  <c r="AK124" i="100"/>
  <c r="AB125" i="100"/>
  <c r="AJ125" i="100"/>
  <c r="AA127" i="100"/>
  <c r="AI127" i="100"/>
  <c r="Z128" i="100"/>
  <c r="AH128" i="100"/>
  <c r="Y129" i="100"/>
  <c r="AG129" i="100"/>
  <c r="AO129" i="100"/>
  <c r="AF130" i="100"/>
  <c r="AN130" i="100"/>
  <c r="AE132" i="100"/>
  <c r="AE136" i="100"/>
  <c r="AM132" i="100"/>
  <c r="AM136" i="100"/>
  <c r="AD133" i="100"/>
  <c r="AL133" i="100"/>
  <c r="AC134" i="100"/>
  <c r="AK134" i="100"/>
  <c r="AB135" i="100"/>
  <c r="AJ135" i="100"/>
  <c r="AA137" i="100"/>
  <c r="AA141" i="100"/>
  <c r="AI137" i="100"/>
  <c r="AI141" i="100"/>
  <c r="Z138" i="100"/>
  <c r="AH138" i="100"/>
  <c r="Y139" i="100"/>
  <c r="AG139" i="100"/>
  <c r="AO139" i="100"/>
  <c r="AF140" i="100"/>
  <c r="AN140" i="100"/>
  <c r="Z83" i="100"/>
  <c r="AH83" i="100"/>
  <c r="Y84" i="100"/>
  <c r="AG84" i="100"/>
  <c r="AO84" i="100"/>
  <c r="AF85" i="100"/>
  <c r="AN85" i="100"/>
  <c r="AE87" i="100"/>
  <c r="AE91" i="100"/>
  <c r="AM87" i="100"/>
  <c r="AM91" i="100"/>
  <c r="AD88" i="100"/>
  <c r="AL88" i="100"/>
  <c r="AC89" i="100"/>
  <c r="AK89" i="100"/>
  <c r="AB90" i="100"/>
  <c r="AJ90" i="100"/>
  <c r="AA92" i="100"/>
  <c r="AA96" i="100"/>
  <c r="AI92" i="100"/>
  <c r="AI96" i="100"/>
  <c r="Z93" i="100"/>
  <c r="AH93" i="100"/>
  <c r="Y94" i="100"/>
  <c r="AG94" i="100"/>
  <c r="AO94" i="100"/>
  <c r="AF95" i="100"/>
  <c r="AN95" i="100"/>
  <c r="AE97" i="100"/>
  <c r="AE101" i="100"/>
  <c r="AM97" i="100"/>
  <c r="AM101" i="100"/>
  <c r="AD98" i="100"/>
  <c r="AL98" i="100"/>
  <c r="AC99" i="100"/>
  <c r="AK99" i="100"/>
  <c r="AB100" i="100"/>
  <c r="AJ100" i="100"/>
  <c r="AA102" i="100"/>
  <c r="AA106" i="100"/>
  <c r="AI102" i="100"/>
  <c r="AI106" i="100"/>
  <c r="Z103" i="100"/>
  <c r="AH103" i="100"/>
  <c r="Y104" i="100"/>
  <c r="AG104" i="100"/>
  <c r="AO104" i="100"/>
  <c r="AF105" i="100"/>
  <c r="AN105" i="100"/>
  <c r="AD108" i="100"/>
  <c r="AD111" i="100"/>
  <c r="AD107" i="100"/>
  <c r="AL108" i="100"/>
  <c r="AL111" i="100"/>
  <c r="AL107" i="100"/>
  <c r="AE109" i="100"/>
  <c r="AM109" i="100"/>
  <c r="AF110" i="100"/>
  <c r="AN110" i="100"/>
  <c r="AF112" i="100"/>
  <c r="AF116" i="100"/>
  <c r="AN112" i="100"/>
  <c r="AN116" i="100"/>
  <c r="AE113" i="100"/>
  <c r="AM113" i="100"/>
  <c r="AD114" i="100"/>
  <c r="AL114" i="100"/>
  <c r="AC115" i="100"/>
  <c r="AK115" i="100"/>
  <c r="AB117" i="100"/>
  <c r="AB121" i="100"/>
  <c r="AJ117" i="100"/>
  <c r="AJ121" i="100"/>
  <c r="AA118" i="100"/>
  <c r="AI118" i="100"/>
  <c r="Z119" i="100"/>
  <c r="AH119" i="100"/>
  <c r="Y120" i="100"/>
  <c r="AG120" i="100"/>
  <c r="AO120" i="100"/>
  <c r="AF122" i="100"/>
  <c r="AF126" i="100"/>
  <c r="AN122" i="100"/>
  <c r="AN126" i="100"/>
  <c r="AE123" i="100"/>
  <c r="AM123" i="100"/>
  <c r="AD124" i="100"/>
  <c r="AL124" i="100"/>
  <c r="AC125" i="100"/>
  <c r="AK125" i="100"/>
  <c r="AB127" i="100"/>
  <c r="AJ127" i="100"/>
  <c r="AA128" i="100"/>
  <c r="AI128" i="100"/>
  <c r="Z129" i="100"/>
  <c r="AH129" i="100"/>
  <c r="Y130" i="100"/>
  <c r="AG130" i="100"/>
  <c r="AO130" i="100"/>
  <c r="AF132" i="100"/>
  <c r="AF136" i="100"/>
  <c r="AN132" i="100"/>
  <c r="AN136" i="100"/>
  <c r="AE133" i="100"/>
  <c r="AM133" i="100"/>
  <c r="AD134" i="100"/>
  <c r="AL134" i="100"/>
  <c r="AC135" i="100"/>
  <c r="AK135" i="100"/>
  <c r="AB137" i="100"/>
  <c r="AB141" i="100"/>
  <c r="AJ137" i="100"/>
  <c r="AJ141" i="100"/>
  <c r="AA138" i="100"/>
  <c r="AI138" i="100"/>
  <c r="Z139" i="100"/>
  <c r="AH139" i="100"/>
  <c r="Y140" i="100"/>
  <c r="AG140" i="100"/>
  <c r="AO140" i="100"/>
  <c r="AF87" i="100"/>
  <c r="AF91" i="100"/>
  <c r="AN87" i="100"/>
  <c r="AN91" i="100"/>
  <c r="AE88" i="100"/>
  <c r="AM88" i="100"/>
  <c r="AD89" i="100"/>
  <c r="AL89" i="100"/>
  <c r="AC90" i="100"/>
  <c r="AB92" i="100"/>
  <c r="AB96" i="100"/>
  <c r="AJ92" i="100"/>
  <c r="AJ96" i="100"/>
  <c r="AA93" i="100"/>
  <c r="AI93" i="100"/>
  <c r="Z94" i="100"/>
  <c r="AH94" i="100"/>
  <c r="Y95" i="100"/>
  <c r="AG95" i="100"/>
  <c r="AO95" i="100"/>
  <c r="AF97" i="100"/>
  <c r="AF101" i="100"/>
  <c r="AN97" i="100"/>
  <c r="AN101" i="100"/>
  <c r="AE98" i="100"/>
  <c r="AM98" i="100"/>
  <c r="AD99" i="100"/>
  <c r="AL99" i="100"/>
  <c r="AB102" i="100"/>
  <c r="AB106" i="100"/>
  <c r="AJ102" i="100"/>
  <c r="AJ106" i="100"/>
  <c r="AA103" i="100"/>
  <c r="AI103" i="100"/>
  <c r="Z104" i="100"/>
  <c r="AH104" i="100"/>
  <c r="Y105" i="100"/>
  <c r="AE108" i="100"/>
  <c r="AE111" i="100"/>
  <c r="AE107" i="100"/>
  <c r="AM108" i="100"/>
  <c r="AM107" i="100"/>
  <c r="AM111" i="100"/>
  <c r="AF109" i="100"/>
  <c r="AN109" i="100"/>
  <c r="AG110" i="100"/>
  <c r="AO110" i="100"/>
  <c r="AG112" i="100"/>
  <c r="AG116" i="100"/>
  <c r="AO112" i="100"/>
  <c r="AO116" i="100"/>
  <c r="AF113" i="100"/>
  <c r="AN113" i="100"/>
  <c r="AE114" i="100"/>
  <c r="AM114" i="100"/>
  <c r="AD115" i="100"/>
  <c r="AL115" i="100"/>
  <c r="AC117" i="100"/>
  <c r="AC121" i="100"/>
  <c r="AK117" i="100"/>
  <c r="AK121" i="100"/>
  <c r="AB118" i="100"/>
  <c r="AJ118" i="100"/>
  <c r="AA119" i="100"/>
  <c r="AI119" i="100"/>
  <c r="Z120" i="100"/>
  <c r="AH120" i="100"/>
  <c r="Y122" i="100"/>
  <c r="Y126" i="100"/>
  <c r="AG122" i="100"/>
  <c r="AG126" i="100"/>
  <c r="AO122" i="100"/>
  <c r="AO126" i="100"/>
  <c r="AF123" i="100"/>
  <c r="AN123" i="100"/>
  <c r="AE124" i="100"/>
  <c r="AM124" i="100"/>
  <c r="AD125" i="100"/>
  <c r="AL125" i="100"/>
  <c r="AC127" i="100"/>
  <c r="AK127" i="100"/>
  <c r="AB128" i="100"/>
  <c r="AJ128" i="100"/>
  <c r="AA129" i="100"/>
  <c r="AI129" i="100"/>
  <c r="Z130" i="100"/>
  <c r="AH130" i="100"/>
  <c r="Y132" i="100"/>
  <c r="Y136" i="100"/>
  <c r="AG132" i="100"/>
  <c r="AG136" i="100"/>
  <c r="AO132" i="100"/>
  <c r="AO136" i="100"/>
  <c r="AF133" i="100"/>
  <c r="AN133" i="100"/>
  <c r="AE134" i="100"/>
  <c r="AM134" i="100"/>
  <c r="AD135" i="100"/>
  <c r="AL135" i="100"/>
  <c r="AC137" i="100"/>
  <c r="AC141" i="100"/>
  <c r="AK137" i="100"/>
  <c r="AK141" i="100"/>
  <c r="AB138" i="100"/>
  <c r="AJ138" i="100"/>
  <c r="AA139" i="100"/>
  <c r="AI139" i="100"/>
  <c r="AB14" i="100"/>
  <c r="Z27" i="111"/>
  <c r="AH27" i="111"/>
  <c r="AA57" i="111"/>
  <c r="AI57" i="111"/>
  <c r="AI65" i="111"/>
  <c r="W57" i="111"/>
  <c r="AE57" i="111"/>
  <c r="W65" i="111"/>
  <c r="AE65" i="111"/>
  <c r="Z14" i="111"/>
  <c r="AH14" i="111"/>
  <c r="Y27" i="111"/>
  <c r="AG27" i="111"/>
  <c r="Z65" i="111"/>
  <c r="AH65" i="111"/>
  <c r="AB14" i="111"/>
  <c r="AJ14" i="111"/>
  <c r="AA15" i="111"/>
  <c r="AI15" i="111"/>
  <c r="AJ14" i="100"/>
  <c r="Y7" i="100"/>
  <c r="Z18" i="100"/>
  <c r="AH18" i="100"/>
  <c r="Y19" i="100"/>
  <c r="AG19" i="100"/>
  <c r="AO19" i="100"/>
  <c r="AD23" i="100"/>
  <c r="AL23" i="100"/>
  <c r="AC24" i="100"/>
  <c r="AK24" i="100"/>
  <c r="Y29" i="100"/>
  <c r="AG29" i="100"/>
  <c r="AO29" i="100"/>
  <c r="AC34" i="100"/>
  <c r="AK34" i="100"/>
  <c r="Y39" i="100"/>
  <c r="AG39" i="100"/>
  <c r="AO39" i="100"/>
  <c r="AC44" i="100"/>
  <c r="AK44" i="100"/>
  <c r="Y49" i="100"/>
  <c r="AG49" i="100"/>
  <c r="AO49" i="100"/>
  <c r="AC54" i="100"/>
  <c r="AK54" i="100"/>
  <c r="Y59" i="100"/>
  <c r="AG59" i="100"/>
  <c r="AO59" i="100"/>
  <c r="AC64" i="100"/>
  <c r="AK64" i="100"/>
  <c r="Y69" i="100"/>
  <c r="AG69" i="100"/>
  <c r="AO69" i="100"/>
  <c r="AF20" i="100"/>
  <c r="AB35" i="100"/>
  <c r="AN40" i="100"/>
  <c r="AJ55" i="100"/>
  <c r="AJ25" i="100"/>
  <c r="AF40" i="100"/>
  <c r="AB55" i="100"/>
  <c r="AN60" i="100"/>
  <c r="AB25" i="100"/>
  <c r="AN30" i="100"/>
  <c r="AJ45" i="100"/>
  <c r="AF60" i="100"/>
  <c r="AN20" i="100"/>
  <c r="AB45" i="100"/>
  <c r="AN50" i="100"/>
  <c r="AJ65" i="100"/>
  <c r="AN70" i="100"/>
  <c r="AF30" i="100"/>
  <c r="AJ35" i="100"/>
  <c r="AF50" i="100"/>
  <c r="AB65" i="100"/>
  <c r="AF70" i="100"/>
  <c r="Z28" i="100"/>
  <c r="AL33" i="100"/>
  <c r="AH38" i="100"/>
  <c r="AD43" i="100"/>
  <c r="Z48" i="100"/>
  <c r="AL53" i="100"/>
  <c r="AH58" i="100"/>
  <c r="AD63" i="100"/>
  <c r="Z68" i="100"/>
  <c r="AH28" i="100"/>
  <c r="AD33" i="100"/>
  <c r="Z38" i="100"/>
  <c r="AL43" i="100"/>
  <c r="AH48" i="100"/>
  <c r="AD53" i="100"/>
  <c r="Z58" i="100"/>
  <c r="AL63" i="100"/>
  <c r="AH68" i="100"/>
  <c r="AE14" i="100"/>
  <c r="AM14" i="100"/>
  <c r="AC18" i="100"/>
  <c r="AK18" i="100"/>
  <c r="Y23" i="100"/>
  <c r="AG23" i="100"/>
  <c r="AO23" i="100"/>
  <c r="AC28" i="100"/>
  <c r="AK28" i="100"/>
  <c r="Y33" i="100"/>
  <c r="AG33" i="100"/>
  <c r="AO33" i="100"/>
  <c r="AC38" i="100"/>
  <c r="AK38" i="100"/>
  <c r="Y43" i="100"/>
  <c r="AG43" i="100"/>
  <c r="AO43" i="100"/>
  <c r="AC48" i="100"/>
  <c r="AK48" i="100"/>
  <c r="Y53" i="100"/>
  <c r="AG53" i="100"/>
  <c r="AO53" i="100"/>
  <c r="AC58" i="100"/>
  <c r="AK58" i="100"/>
  <c r="Y63" i="100"/>
  <c r="AG63" i="100"/>
  <c r="AO63" i="100"/>
  <c r="AC68" i="100"/>
  <c r="AK68" i="100"/>
  <c r="AB69" i="100"/>
  <c r="AJ69" i="100"/>
  <c r="AB15" i="100"/>
  <c r="AI37" i="100"/>
  <c r="AI41" i="100"/>
  <c r="AM22" i="100"/>
  <c r="AM26" i="100"/>
  <c r="AI27" i="100"/>
  <c r="AI31" i="100"/>
  <c r="AE32" i="100"/>
  <c r="AE36" i="100"/>
  <c r="AA37" i="100"/>
  <c r="AA41" i="100"/>
  <c r="AI67" i="100"/>
  <c r="AI71" i="100"/>
  <c r="AO8" i="100"/>
  <c r="AD13" i="100"/>
  <c r="AJ17" i="100"/>
  <c r="AJ21" i="100"/>
  <c r="AG20" i="100"/>
  <c r="AD24" i="100"/>
  <c r="AI28" i="100"/>
  <c r="AN32" i="100"/>
  <c r="AN36" i="100"/>
  <c r="AC35" i="100"/>
  <c r="Z39" i="100"/>
  <c r="AN42" i="100"/>
  <c r="AN46" i="100"/>
  <c r="AC45" i="100"/>
  <c r="AB47" i="100"/>
  <c r="AB51" i="100"/>
  <c r="AA48" i="100"/>
  <c r="Z49" i="100"/>
  <c r="Y50" i="100"/>
  <c r="AO50" i="100"/>
  <c r="AF52" i="100"/>
  <c r="AF56" i="100"/>
  <c r="AN52" i="100"/>
  <c r="AN56" i="100"/>
  <c r="AE53" i="100"/>
  <c r="AM53" i="100"/>
  <c r="AD54" i="100"/>
  <c r="AL54" i="100"/>
  <c r="AC55" i="100"/>
  <c r="AK55" i="100"/>
  <c r="AB57" i="100"/>
  <c r="AB61" i="100"/>
  <c r="AJ57" i="100"/>
  <c r="AJ61" i="100"/>
  <c r="AA58" i="100"/>
  <c r="AI58" i="100"/>
  <c r="Z59" i="100"/>
  <c r="AM32" i="100"/>
  <c r="AM36" i="100"/>
  <c r="AK14" i="100"/>
  <c r="AA18" i="100"/>
  <c r="AO20" i="100"/>
  <c r="AC25" i="100"/>
  <c r="AH29" i="100"/>
  <c r="AE33" i="100"/>
  <c r="AB37" i="100"/>
  <c r="AB41" i="100"/>
  <c r="Y40" i="100"/>
  <c r="AE43" i="100"/>
  <c r="AK45" i="100"/>
  <c r="AJ47" i="100"/>
  <c r="AJ51" i="100"/>
  <c r="AI48" i="100"/>
  <c r="AH49" i="100"/>
  <c r="AG50" i="100"/>
  <c r="AO9" i="100"/>
  <c r="AE12" i="100"/>
  <c r="AE16" i="100"/>
  <c r="AM12" i="100"/>
  <c r="AM16" i="100"/>
  <c r="AE13" i="100"/>
  <c r="AM13" i="100"/>
  <c r="AD14" i="100"/>
  <c r="AO7" i="100"/>
  <c r="AO11" i="100"/>
  <c r="AK12" i="100"/>
  <c r="AK16" i="100"/>
  <c r="AI17" i="100"/>
  <c r="AI21" i="100"/>
  <c r="AM52" i="100"/>
  <c r="AM56" i="100"/>
  <c r="AI57" i="100"/>
  <c r="AI61" i="100"/>
  <c r="AE62" i="100"/>
  <c r="AE66" i="100"/>
  <c r="AC14" i="100"/>
  <c r="Y20" i="100"/>
  <c r="AE23" i="100"/>
  <c r="AJ27" i="100"/>
  <c r="AJ31" i="100"/>
  <c r="AO30" i="100"/>
  <c r="AK35" i="100"/>
  <c r="AH39" i="100"/>
  <c r="AD44" i="100"/>
  <c r="AF12" i="100"/>
  <c r="AF16" i="100"/>
  <c r="AA20" i="100"/>
  <c r="AH22" i="100"/>
  <c r="AH26" i="100"/>
  <c r="AF24" i="100"/>
  <c r="AN24" i="100"/>
  <c r="AE25" i="100"/>
  <c r="AM25" i="100"/>
  <c r="AD27" i="100"/>
  <c r="AD31" i="100"/>
  <c r="AL27" i="100"/>
  <c r="AL31" i="100"/>
  <c r="AC13" i="100"/>
  <c r="AL13" i="100"/>
  <c r="AL24" i="100"/>
  <c r="Z29" i="100"/>
  <c r="AG12" i="100"/>
  <c r="AG16" i="100"/>
  <c r="AC12" i="100"/>
  <c r="AC16" i="100"/>
  <c r="AA17" i="100"/>
  <c r="AA21" i="100"/>
  <c r="AM42" i="100"/>
  <c r="AM46" i="100"/>
  <c r="AI47" i="100"/>
  <c r="AI51" i="100"/>
  <c r="AE52" i="100"/>
  <c r="AE56" i="100"/>
  <c r="AA57" i="100"/>
  <c r="AA61" i="100"/>
  <c r="AL12" i="100"/>
  <c r="AL16" i="100"/>
  <c r="AB17" i="100"/>
  <c r="AB21" i="100"/>
  <c r="AH19" i="100"/>
  <c r="AM23" i="100"/>
  <c r="AA28" i="100"/>
  <c r="AF32" i="100"/>
  <c r="AF36" i="100"/>
  <c r="AL34" i="100"/>
  <c r="AI38" i="100"/>
  <c r="AF42" i="100"/>
  <c r="AF46" i="100"/>
  <c r="AO10" i="100"/>
  <c r="AN13" i="100"/>
  <c r="AM15" i="100"/>
  <c r="AL17" i="100"/>
  <c r="AL21" i="100"/>
  <c r="AJ19" i="100"/>
  <c r="Y12" i="100"/>
  <c r="Y16" i="100"/>
  <c r="AK13" i="100"/>
  <c r="AE22" i="100"/>
  <c r="AE26" i="100"/>
  <c r="AA27" i="100"/>
  <c r="AA31" i="100"/>
  <c r="AM62" i="100"/>
  <c r="AM66" i="100"/>
  <c r="AA67" i="100"/>
  <c r="AA71" i="100"/>
  <c r="AD12" i="100"/>
  <c r="AD16" i="100"/>
  <c r="AK15" i="100"/>
  <c r="Z19" i="100"/>
  <c r="AN22" i="100"/>
  <c r="AN26" i="100"/>
  <c r="AK25" i="100"/>
  <c r="Y30" i="100"/>
  <c r="AM33" i="100"/>
  <c r="AJ37" i="100"/>
  <c r="AJ41" i="100"/>
  <c r="AG40" i="100"/>
  <c r="AM43" i="100"/>
  <c r="AN12" i="100"/>
  <c r="AN16" i="100"/>
  <c r="AD17" i="100"/>
  <c r="AD21" i="100"/>
  <c r="AB19" i="100"/>
  <c r="Z22" i="100"/>
  <c r="Z26" i="100"/>
  <c r="AJ15" i="100"/>
  <c r="AE42" i="100"/>
  <c r="AE46" i="100"/>
  <c r="AA47" i="100"/>
  <c r="AA51" i="100"/>
  <c r="AC15" i="100"/>
  <c r="AI18" i="100"/>
  <c r="AF22" i="100"/>
  <c r="AF26" i="100"/>
  <c r="AB27" i="100"/>
  <c r="AB31" i="100"/>
  <c r="AG30" i="100"/>
  <c r="AD34" i="100"/>
  <c r="AA38" i="100"/>
  <c r="AO40" i="100"/>
  <c r="AL44" i="100"/>
  <c r="AF13" i="100"/>
  <c r="AE15" i="100"/>
  <c r="AI20" i="100"/>
  <c r="AH59" i="100"/>
  <c r="Y60" i="100"/>
  <c r="AG60" i="100"/>
  <c r="AO60" i="100"/>
  <c r="AF62" i="100"/>
  <c r="AF66" i="100"/>
  <c r="AN62" i="100"/>
  <c r="AN66" i="100"/>
  <c r="AE63" i="100"/>
  <c r="AM63" i="100"/>
  <c r="AD64" i="100"/>
  <c r="AL64" i="100"/>
  <c r="AC65" i="100"/>
  <c r="AK65" i="100"/>
  <c r="AB67" i="100"/>
  <c r="AB71" i="100"/>
  <c r="AJ67" i="100"/>
  <c r="AJ71" i="100"/>
  <c r="AA68" i="100"/>
  <c r="AI68" i="100"/>
  <c r="Z69" i="100"/>
  <c r="AH69" i="100"/>
  <c r="Y70" i="100"/>
  <c r="AG70" i="100"/>
  <c r="AO70" i="100"/>
  <c r="AL14" i="100"/>
  <c r="AD15" i="100"/>
  <c r="AL15" i="100"/>
  <c r="AC17" i="100"/>
  <c r="AC21" i="100"/>
  <c r="AK17" i="100"/>
  <c r="AK21" i="100"/>
  <c r="AB18" i="100"/>
  <c r="AJ18" i="100"/>
  <c r="AA19" i="100"/>
  <c r="AI19" i="100"/>
  <c r="Z20" i="100"/>
  <c r="AH20" i="100"/>
  <c r="Y22" i="100"/>
  <c r="Y26" i="100"/>
  <c r="AG22" i="100"/>
  <c r="AG26" i="100"/>
  <c r="AO22" i="100"/>
  <c r="AO26" i="100"/>
  <c r="AF23" i="100"/>
  <c r="AN23" i="100"/>
  <c r="AE24" i="100"/>
  <c r="AM24" i="100"/>
  <c r="AD25" i="100"/>
  <c r="AL25" i="100"/>
  <c r="AC27" i="100"/>
  <c r="AC31" i="100"/>
  <c r="AK27" i="100"/>
  <c r="AK31" i="100"/>
  <c r="AB28" i="100"/>
  <c r="AJ28" i="100"/>
  <c r="AA29" i="100"/>
  <c r="AI29" i="100"/>
  <c r="Z30" i="100"/>
  <c r="AH30" i="100"/>
  <c r="Y32" i="100"/>
  <c r="Y36" i="100"/>
  <c r="AG32" i="100"/>
  <c r="AG36" i="100"/>
  <c r="AO32" i="100"/>
  <c r="AO36" i="100"/>
  <c r="AF33" i="100"/>
  <c r="AN33" i="100"/>
  <c r="AE34" i="100"/>
  <c r="AM34" i="100"/>
  <c r="AD35" i="100"/>
  <c r="AL35" i="100"/>
  <c r="AC37" i="100"/>
  <c r="AC41" i="100"/>
  <c r="AK37" i="100"/>
  <c r="AK41" i="100"/>
  <c r="AB38" i="100"/>
  <c r="AJ38" i="100"/>
  <c r="AA39" i="100"/>
  <c r="AI39" i="100"/>
  <c r="Z40" i="100"/>
  <c r="AH40" i="100"/>
  <c r="Y42" i="100"/>
  <c r="Y46" i="100"/>
  <c r="AG42" i="100"/>
  <c r="AG46" i="100"/>
  <c r="AO42" i="100"/>
  <c r="AO46" i="100"/>
  <c r="AF43" i="100"/>
  <c r="AN43" i="100"/>
  <c r="AE44" i="100"/>
  <c r="AM44" i="100"/>
  <c r="AD45" i="100"/>
  <c r="AL45" i="100"/>
  <c r="AC47" i="100"/>
  <c r="AC51" i="100"/>
  <c r="AK47" i="100"/>
  <c r="AK51" i="100"/>
  <c r="AB48" i="100"/>
  <c r="AJ48" i="100"/>
  <c r="AA49" i="100"/>
  <c r="AI49" i="100"/>
  <c r="Z50" i="100"/>
  <c r="AH50" i="100"/>
  <c r="Y52" i="100"/>
  <c r="Y56" i="100"/>
  <c r="AG52" i="100"/>
  <c r="AG56" i="100"/>
  <c r="AO52" i="100"/>
  <c r="AO56" i="100"/>
  <c r="AF53" i="100"/>
  <c r="AN53" i="100"/>
  <c r="AE54" i="100"/>
  <c r="AM54" i="100"/>
  <c r="AD55" i="100"/>
  <c r="AL55" i="100"/>
  <c r="AC57" i="100"/>
  <c r="AC61" i="100"/>
  <c r="AK57" i="100"/>
  <c r="AK61" i="100"/>
  <c r="AB58" i="100"/>
  <c r="AJ58" i="100"/>
  <c r="AA59" i="100"/>
  <c r="AI59" i="100"/>
  <c r="Z60" i="100"/>
  <c r="AH60" i="100"/>
  <c r="Y62" i="100"/>
  <c r="Y66" i="100"/>
  <c r="AG62" i="100"/>
  <c r="AG66" i="100"/>
  <c r="AO62" i="100"/>
  <c r="AO66" i="100"/>
  <c r="AF63" i="100"/>
  <c r="AN63" i="100"/>
  <c r="AE64" i="100"/>
  <c r="AM64" i="100"/>
  <c r="AD65" i="100"/>
  <c r="AL65" i="100"/>
  <c r="AC67" i="100"/>
  <c r="AC71" i="100"/>
  <c r="AK67" i="100"/>
  <c r="AK71" i="100"/>
  <c r="AB68" i="100"/>
  <c r="AJ68" i="100"/>
  <c r="AA69" i="100"/>
  <c r="AI69" i="100"/>
  <c r="Z70" i="100"/>
  <c r="AH70" i="100"/>
  <c r="AB29" i="100"/>
  <c r="AJ29" i="100"/>
  <c r="AA30" i="100"/>
  <c r="AI30" i="100"/>
  <c r="Z32" i="100"/>
  <c r="Z36" i="100"/>
  <c r="AH32" i="100"/>
  <c r="AH36" i="100"/>
  <c r="AF34" i="100"/>
  <c r="AN34" i="100"/>
  <c r="AE35" i="100"/>
  <c r="AM35" i="100"/>
  <c r="AD37" i="100"/>
  <c r="AD41" i="100"/>
  <c r="AL37" i="100"/>
  <c r="AL41" i="100"/>
  <c r="AB39" i="100"/>
  <c r="AJ39" i="100"/>
  <c r="AA40" i="100"/>
  <c r="AI40" i="100"/>
  <c r="Z42" i="100"/>
  <c r="Z46" i="100"/>
  <c r="AH42" i="100"/>
  <c r="AH46" i="100"/>
  <c r="AF44" i="100"/>
  <c r="AN44" i="100"/>
  <c r="AE45" i="100"/>
  <c r="AM45" i="100"/>
  <c r="AD47" i="100"/>
  <c r="AD51" i="100"/>
  <c r="AL47" i="100"/>
  <c r="AL51" i="100"/>
  <c r="AB49" i="100"/>
  <c r="AJ49" i="100"/>
  <c r="AA50" i="100"/>
  <c r="AI50" i="100"/>
  <c r="Z52" i="100"/>
  <c r="Z56" i="100"/>
  <c r="AH52" i="100"/>
  <c r="AH56" i="100"/>
  <c r="AF54" i="100"/>
  <c r="AN54" i="100"/>
  <c r="AE55" i="100"/>
  <c r="AM55" i="100"/>
  <c r="AD57" i="100"/>
  <c r="AD61" i="100"/>
  <c r="AL57" i="100"/>
  <c r="AL61" i="100"/>
  <c r="AB59" i="100"/>
  <c r="AJ59" i="100"/>
  <c r="AA60" i="100"/>
  <c r="AI60" i="100"/>
  <c r="Z62" i="100"/>
  <c r="Z66" i="100"/>
  <c r="AH62" i="100"/>
  <c r="AH66" i="100"/>
  <c r="AF64" i="100"/>
  <c r="AN64" i="100"/>
  <c r="AE65" i="100"/>
  <c r="AM65" i="100"/>
  <c r="AD67" i="100"/>
  <c r="AD71" i="100"/>
  <c r="AL67" i="100"/>
  <c r="AL71" i="100"/>
  <c r="AA70" i="100"/>
  <c r="AI70" i="100"/>
  <c r="AO12" i="100"/>
  <c r="AO16" i="100"/>
  <c r="AG13" i="100"/>
  <c r="AO13" i="100"/>
  <c r="AF14" i="100"/>
  <c r="AN14" i="100"/>
  <c r="AF15" i="100"/>
  <c r="AN15" i="100"/>
  <c r="AE17" i="100"/>
  <c r="AE21" i="100"/>
  <c r="AM17" i="100"/>
  <c r="AM21" i="100"/>
  <c r="AD18" i="100"/>
  <c r="AL18" i="100"/>
  <c r="AC19" i="100"/>
  <c r="AK19" i="100"/>
  <c r="AB20" i="100"/>
  <c r="AJ20" i="100"/>
  <c r="AA22" i="100"/>
  <c r="AA26" i="100"/>
  <c r="AI22" i="100"/>
  <c r="AI26" i="100"/>
  <c r="Z23" i="100"/>
  <c r="AH23" i="100"/>
  <c r="Y24" i="100"/>
  <c r="AG24" i="100"/>
  <c r="AO24" i="100"/>
  <c r="AF25" i="100"/>
  <c r="AN25" i="100"/>
  <c r="AE27" i="100"/>
  <c r="AE31" i="100"/>
  <c r="AM27" i="100"/>
  <c r="AM31" i="100"/>
  <c r="AD28" i="100"/>
  <c r="AL28" i="100"/>
  <c r="AC29" i="100"/>
  <c r="AK29" i="100"/>
  <c r="AB30" i="100"/>
  <c r="AJ30" i="100"/>
  <c r="AA32" i="100"/>
  <c r="AA36" i="100"/>
  <c r="AI32" i="100"/>
  <c r="AI36" i="100"/>
  <c r="Z33" i="100"/>
  <c r="AH33" i="100"/>
  <c r="Y34" i="100"/>
  <c r="AG34" i="100"/>
  <c r="AO34" i="100"/>
  <c r="AF35" i="100"/>
  <c r="AN35" i="100"/>
  <c r="AE37" i="100"/>
  <c r="AE41" i="100"/>
  <c r="AM37" i="100"/>
  <c r="AM41" i="100"/>
  <c r="AD38" i="100"/>
  <c r="AL38" i="100"/>
  <c r="AC39" i="100"/>
  <c r="AK39" i="100"/>
  <c r="AB40" i="100"/>
  <c r="AJ40" i="100"/>
  <c r="AA42" i="100"/>
  <c r="AA46" i="100"/>
  <c r="AI42" i="100"/>
  <c r="AI46" i="100"/>
  <c r="Z43" i="100"/>
  <c r="AH43" i="100"/>
  <c r="Y44" i="100"/>
  <c r="AG44" i="100"/>
  <c r="AO44" i="100"/>
  <c r="AF45" i="100"/>
  <c r="AN45" i="100"/>
  <c r="AE47" i="100"/>
  <c r="AE51" i="100"/>
  <c r="AM47" i="100"/>
  <c r="AM51" i="100"/>
  <c r="AD48" i="100"/>
  <c r="AL48" i="100"/>
  <c r="AC49" i="100"/>
  <c r="AK49" i="100"/>
  <c r="AB50" i="100"/>
  <c r="AJ50" i="100"/>
  <c r="AA52" i="100"/>
  <c r="AA56" i="100"/>
  <c r="AI52" i="100"/>
  <c r="AI56" i="100"/>
  <c r="Z53" i="100"/>
  <c r="AH53" i="100"/>
  <c r="Y54" i="100"/>
  <c r="AG54" i="100"/>
  <c r="AO54" i="100"/>
  <c r="AF55" i="100"/>
  <c r="AN55" i="100"/>
  <c r="AE57" i="100"/>
  <c r="AE61" i="100"/>
  <c r="AM57" i="100"/>
  <c r="AM61" i="100"/>
  <c r="AD58" i="100"/>
  <c r="AL58" i="100"/>
  <c r="AC59" i="100"/>
  <c r="AK59" i="100"/>
  <c r="AB60" i="100"/>
  <c r="AJ60" i="100"/>
  <c r="AA62" i="100"/>
  <c r="AA66" i="100"/>
  <c r="AI62" i="100"/>
  <c r="AI66" i="100"/>
  <c r="Z63" i="100"/>
  <c r="AH63" i="100"/>
  <c r="Y64" i="100"/>
  <c r="AG64" i="100"/>
  <c r="AO64" i="100"/>
  <c r="AF65" i="100"/>
  <c r="AN65" i="100"/>
  <c r="AE67" i="100"/>
  <c r="AE71" i="100"/>
  <c r="AM67" i="100"/>
  <c r="AM71" i="100"/>
  <c r="AD68" i="100"/>
  <c r="AL68" i="100"/>
  <c r="AC69" i="100"/>
  <c r="AK69" i="100"/>
  <c r="AB70" i="100"/>
  <c r="AJ70" i="100"/>
  <c r="Z12" i="100"/>
  <c r="Z16" i="100"/>
  <c r="AH12" i="100"/>
  <c r="AH16" i="100"/>
  <c r="Y13" i="100"/>
  <c r="AH13" i="100"/>
  <c r="Y14" i="100"/>
  <c r="AG14" i="100"/>
  <c r="AO14" i="100"/>
  <c r="AG15" i="100"/>
  <c r="AO15" i="100"/>
  <c r="AF17" i="100"/>
  <c r="AF21" i="100"/>
  <c r="AN17" i="100"/>
  <c r="AN21" i="100"/>
  <c r="AE18" i="100"/>
  <c r="AM18" i="100"/>
  <c r="AD19" i="100"/>
  <c r="AL19" i="100"/>
  <c r="AC20" i="100"/>
  <c r="AK20" i="100"/>
  <c r="AB22" i="100"/>
  <c r="AB26" i="100"/>
  <c r="AJ22" i="100"/>
  <c r="AJ26" i="100"/>
  <c r="AA23" i="100"/>
  <c r="AI23" i="100"/>
  <c r="Z24" i="100"/>
  <c r="AH24" i="100"/>
  <c r="Y25" i="100"/>
  <c r="AG25" i="100"/>
  <c r="AO25" i="100"/>
  <c r="AF27" i="100"/>
  <c r="AF31" i="100"/>
  <c r="AN27" i="100"/>
  <c r="AN31" i="100"/>
  <c r="AE28" i="100"/>
  <c r="AM28" i="100"/>
  <c r="AD29" i="100"/>
  <c r="AL29" i="100"/>
  <c r="AC30" i="100"/>
  <c r="AK30" i="100"/>
  <c r="AB32" i="100"/>
  <c r="AB36" i="100"/>
  <c r="AJ32" i="100"/>
  <c r="AJ36" i="100"/>
  <c r="AA33" i="100"/>
  <c r="AI33" i="100"/>
  <c r="Z34" i="100"/>
  <c r="AH34" i="100"/>
  <c r="Y35" i="100"/>
  <c r="AG35" i="100"/>
  <c r="AO35" i="100"/>
  <c r="AF37" i="100"/>
  <c r="AF41" i="100"/>
  <c r="AN37" i="100"/>
  <c r="AN41" i="100"/>
  <c r="AE38" i="100"/>
  <c r="AM38" i="100"/>
  <c r="AD39" i="100"/>
  <c r="AL39" i="100"/>
  <c r="AC40" i="100"/>
  <c r="AK40" i="100"/>
  <c r="AB42" i="100"/>
  <c r="AB46" i="100"/>
  <c r="AJ42" i="100"/>
  <c r="AJ46" i="100"/>
  <c r="AA43" i="100"/>
  <c r="AI43" i="100"/>
  <c r="Z44" i="100"/>
  <c r="AH44" i="100"/>
  <c r="Y45" i="100"/>
  <c r="AG45" i="100"/>
  <c r="AO45" i="100"/>
  <c r="AF47" i="100"/>
  <c r="AF51" i="100"/>
  <c r="AN47" i="100"/>
  <c r="AN51" i="100"/>
  <c r="AE48" i="100"/>
  <c r="AM48" i="100"/>
  <c r="AD49" i="100"/>
  <c r="AL49" i="100"/>
  <c r="AC50" i="100"/>
  <c r="AK50" i="100"/>
  <c r="AB52" i="100"/>
  <c r="AB56" i="100"/>
  <c r="AJ52" i="100"/>
  <c r="AJ56" i="100"/>
  <c r="AA53" i="100"/>
  <c r="AI53" i="100"/>
  <c r="Z54" i="100"/>
  <c r="AH54" i="100"/>
  <c r="Y55" i="100"/>
  <c r="AG55" i="100"/>
  <c r="AO55" i="100"/>
  <c r="AF57" i="100"/>
  <c r="AF61" i="100"/>
  <c r="AN57" i="100"/>
  <c r="AN61" i="100"/>
  <c r="AE58" i="100"/>
  <c r="AM58" i="100"/>
  <c r="AD59" i="100"/>
  <c r="AL59" i="100"/>
  <c r="AC60" i="100"/>
  <c r="AK60" i="100"/>
  <c r="AB62" i="100"/>
  <c r="AB66" i="100"/>
  <c r="AJ62" i="100"/>
  <c r="AJ66" i="100"/>
  <c r="AA63" i="100"/>
  <c r="AI63" i="100"/>
  <c r="Z64" i="100"/>
  <c r="AH64" i="100"/>
  <c r="Y65" i="100"/>
  <c r="AG65" i="100"/>
  <c r="AO65" i="100"/>
  <c r="AF67" i="100"/>
  <c r="AF71" i="100"/>
  <c r="AN67" i="100"/>
  <c r="AN71" i="100"/>
  <c r="AE68" i="100"/>
  <c r="AM68" i="100"/>
  <c r="AD69" i="100"/>
  <c r="AL69" i="100"/>
  <c r="AC70" i="100"/>
  <c r="AK70" i="100"/>
  <c r="AA12" i="100"/>
  <c r="AA13" i="100"/>
  <c r="AA16" i="100"/>
  <c r="AA15" i="100"/>
  <c r="AI12" i="100"/>
  <c r="AI16" i="100"/>
  <c r="Z13" i="100"/>
  <c r="AI13" i="100"/>
  <c r="Z14" i="100"/>
  <c r="AH14" i="100"/>
  <c r="Y15" i="100"/>
  <c r="AH15" i="100"/>
  <c r="Y17" i="100"/>
  <c r="Y21" i="100"/>
  <c r="AG17" i="100"/>
  <c r="AG21" i="100"/>
  <c r="AO17" i="100"/>
  <c r="AO21" i="100"/>
  <c r="AF18" i="100"/>
  <c r="AN18" i="100"/>
  <c r="AE19" i="100"/>
  <c r="AM19" i="100"/>
  <c r="AD20" i="100"/>
  <c r="AL20" i="100"/>
  <c r="AC22" i="100"/>
  <c r="AC26" i="100"/>
  <c r="AK22" i="100"/>
  <c r="AK26" i="100"/>
  <c r="AB23" i="100"/>
  <c r="AJ23" i="100"/>
  <c r="AA24" i="100"/>
  <c r="AI24" i="100"/>
  <c r="Z25" i="100"/>
  <c r="AH25" i="100"/>
  <c r="Y27" i="100"/>
  <c r="Y31" i="100"/>
  <c r="AG27" i="100"/>
  <c r="AG31" i="100"/>
  <c r="AO27" i="100"/>
  <c r="AO31" i="100"/>
  <c r="AF28" i="100"/>
  <c r="AN28" i="100"/>
  <c r="AE29" i="100"/>
  <c r="AM29" i="100"/>
  <c r="AD30" i="100"/>
  <c r="AL30" i="100"/>
  <c r="AC32" i="100"/>
  <c r="AC36" i="100"/>
  <c r="AK32" i="100"/>
  <c r="AK36" i="100"/>
  <c r="AB33" i="100"/>
  <c r="AJ33" i="100"/>
  <c r="AA34" i="100"/>
  <c r="AI34" i="100"/>
  <c r="Z35" i="100"/>
  <c r="AH35" i="100"/>
  <c r="Y37" i="100"/>
  <c r="Y41" i="100"/>
  <c r="AG37" i="100"/>
  <c r="AG41" i="100"/>
  <c r="AO37" i="100"/>
  <c r="AO41" i="100"/>
  <c r="AF38" i="100"/>
  <c r="AN38" i="100"/>
  <c r="AE39" i="100"/>
  <c r="AM39" i="100"/>
  <c r="AD40" i="100"/>
  <c r="AL40" i="100"/>
  <c r="AC42" i="100"/>
  <c r="AC46" i="100"/>
  <c r="AK42" i="100"/>
  <c r="AK46" i="100"/>
  <c r="AB43" i="100"/>
  <c r="AJ43" i="100"/>
  <c r="AA44" i="100"/>
  <c r="AI44" i="100"/>
  <c r="Z45" i="100"/>
  <c r="AH45" i="100"/>
  <c r="Y47" i="100"/>
  <c r="Y51" i="100"/>
  <c r="AG47" i="100"/>
  <c r="AG51" i="100"/>
  <c r="AO47" i="100"/>
  <c r="AO51" i="100"/>
  <c r="AF48" i="100"/>
  <c r="AN48" i="100"/>
  <c r="AE49" i="100"/>
  <c r="AM49" i="100"/>
  <c r="AD50" i="100"/>
  <c r="AL50" i="100"/>
  <c r="AC52" i="100"/>
  <c r="AC56" i="100"/>
  <c r="AK52" i="100"/>
  <c r="AK56" i="100"/>
  <c r="AB53" i="100"/>
  <c r="AJ53" i="100"/>
  <c r="AA54" i="100"/>
  <c r="AI54" i="100"/>
  <c r="Z55" i="100"/>
  <c r="AH55" i="100"/>
  <c r="Y57" i="100"/>
  <c r="Y61" i="100"/>
  <c r="AG57" i="100"/>
  <c r="AG61" i="100"/>
  <c r="AO57" i="100"/>
  <c r="AO61" i="100"/>
  <c r="AF58" i="100"/>
  <c r="AN58" i="100"/>
  <c r="AE59" i="100"/>
  <c r="AM59" i="100"/>
  <c r="AD60" i="100"/>
  <c r="AL60" i="100"/>
  <c r="AC62" i="100"/>
  <c r="AC66" i="100"/>
  <c r="AK62" i="100"/>
  <c r="AK66" i="100"/>
  <c r="AB63" i="100"/>
  <c r="AJ63" i="100"/>
  <c r="AA64" i="100"/>
  <c r="AI64" i="100"/>
  <c r="Z65" i="100"/>
  <c r="AH65" i="100"/>
  <c r="Y67" i="100"/>
  <c r="Y71" i="100"/>
  <c r="AG67" i="100"/>
  <c r="AG71" i="100"/>
  <c r="AO67" i="100"/>
  <c r="AO71" i="100"/>
  <c r="AF68" i="100"/>
  <c r="AN68" i="100"/>
  <c r="AE69" i="100"/>
  <c r="AM69" i="100"/>
  <c r="AD70" i="100"/>
  <c r="AL70" i="100"/>
  <c r="AB12" i="100"/>
  <c r="AB16" i="100"/>
  <c r="AJ12" i="100"/>
  <c r="AJ16" i="100"/>
  <c r="AB13" i="100"/>
  <c r="AJ13" i="100"/>
  <c r="AA14" i="100"/>
  <c r="AI14" i="100"/>
  <c r="Z15" i="100"/>
  <c r="AI15" i="100"/>
  <c r="Z17" i="100"/>
  <c r="Z21" i="100"/>
  <c r="AH17" i="100"/>
  <c r="AH21" i="100"/>
  <c r="Y18" i="100"/>
  <c r="AG18" i="100"/>
  <c r="AO18" i="100"/>
  <c r="AF19" i="100"/>
  <c r="AN19" i="100"/>
  <c r="AE20" i="100"/>
  <c r="AM20" i="100"/>
  <c r="AD22" i="100"/>
  <c r="AD26" i="100"/>
  <c r="AL22" i="100"/>
  <c r="AL26" i="100"/>
  <c r="AC23" i="100"/>
  <c r="AK23" i="100"/>
  <c r="AB24" i="100"/>
  <c r="AJ24" i="100"/>
  <c r="AA25" i="100"/>
  <c r="AI25" i="100"/>
  <c r="Z27" i="100"/>
  <c r="Z31" i="100"/>
  <c r="AH27" i="100"/>
  <c r="AH31" i="100"/>
  <c r="Y28" i="100"/>
  <c r="AG28" i="100"/>
  <c r="AO28" i="100"/>
  <c r="AF29" i="100"/>
  <c r="AN29" i="100"/>
  <c r="AE30" i="100"/>
  <c r="AM30" i="100"/>
  <c r="AD32" i="100"/>
  <c r="AD36" i="100"/>
  <c r="AL32" i="100"/>
  <c r="AL36" i="100"/>
  <c r="AC33" i="100"/>
  <c r="AK33" i="100"/>
  <c r="AB34" i="100"/>
  <c r="AJ34" i="100"/>
  <c r="AA35" i="100"/>
  <c r="AI35" i="100"/>
  <c r="Z37" i="100"/>
  <c r="Z41" i="100"/>
  <c r="AH37" i="100"/>
  <c r="AH41" i="100"/>
  <c r="Y38" i="100"/>
  <c r="AG38" i="100"/>
  <c r="AO38" i="100"/>
  <c r="AF39" i="100"/>
  <c r="AN39" i="100"/>
  <c r="AE40" i="100"/>
  <c r="AM40" i="100"/>
  <c r="AD42" i="100"/>
  <c r="AD46" i="100"/>
  <c r="AL42" i="100"/>
  <c r="AL46" i="100"/>
  <c r="AC43" i="100"/>
  <c r="AK43" i="100"/>
  <c r="AB44" i="100"/>
  <c r="AJ44" i="100"/>
  <c r="AA45" i="100"/>
  <c r="AI45" i="100"/>
  <c r="Z47" i="100"/>
  <c r="Z51" i="100"/>
  <c r="AH47" i="100"/>
  <c r="AH51" i="100"/>
  <c r="Y48" i="100"/>
  <c r="AG48" i="100"/>
  <c r="AO48" i="100"/>
  <c r="AF49" i="100"/>
  <c r="AN49" i="100"/>
  <c r="AE50" i="100"/>
  <c r="AM50" i="100"/>
  <c r="AD52" i="100"/>
  <c r="AD56" i="100"/>
  <c r="AL52" i="100"/>
  <c r="AL56" i="100"/>
  <c r="AC53" i="100"/>
  <c r="AK53" i="100"/>
  <c r="AB54" i="100"/>
  <c r="AJ54" i="100"/>
  <c r="AA55" i="100"/>
  <c r="AI55" i="100"/>
  <c r="Z57" i="100"/>
  <c r="Z61" i="100"/>
  <c r="AH57" i="100"/>
  <c r="AH61" i="100"/>
  <c r="Y58" i="100"/>
  <c r="AG58" i="100"/>
  <c r="AO58" i="100"/>
  <c r="AF59" i="100"/>
  <c r="AN59" i="100"/>
  <c r="AE60" i="100"/>
  <c r="AM60" i="100"/>
  <c r="AD62" i="100"/>
  <c r="AD66" i="100"/>
  <c r="AL62" i="100"/>
  <c r="AL66" i="100"/>
  <c r="AC63" i="100"/>
  <c r="AK63" i="100"/>
  <c r="AB64" i="100"/>
  <c r="AJ64" i="100"/>
  <c r="AA65" i="100"/>
  <c r="AI65" i="100"/>
  <c r="Z67" i="100"/>
  <c r="Z71" i="100"/>
  <c r="AH67" i="100"/>
  <c r="AH71" i="100"/>
  <c r="Y68" i="100"/>
  <c r="AG68" i="100"/>
  <c r="AO68" i="100"/>
  <c r="AF69" i="100"/>
  <c r="AN69" i="100"/>
  <c r="AE70" i="100"/>
  <c r="AM70" i="100"/>
  <c r="AJ8" i="100"/>
  <c r="Y9" i="100"/>
  <c r="AG9" i="100"/>
  <c r="AF10" i="100"/>
  <c r="AN10" i="100"/>
  <c r="AB8" i="100"/>
  <c r="AE9" i="100"/>
  <c r="AM9" i="100"/>
  <c r="AH8" i="100"/>
  <c r="Z8" i="100"/>
  <c r="AA7" i="100"/>
  <c r="AA11" i="100"/>
  <c r="AB7" i="100"/>
  <c r="AB11" i="100"/>
  <c r="AJ7" i="100"/>
  <c r="AJ11" i="100"/>
  <c r="AA8" i="100"/>
  <c r="AI8" i="100"/>
  <c r="Z9" i="100"/>
  <c r="AH9" i="100"/>
  <c r="Y10" i="100"/>
  <c r="AG10" i="100"/>
  <c r="AK7" i="100"/>
  <c r="AK11" i="100"/>
  <c r="AH10" i="100"/>
  <c r="AC8" i="100"/>
  <c r="AI10" i="100"/>
  <c r="AI7" i="100"/>
  <c r="AI11" i="100"/>
  <c r="AA9" i="100"/>
  <c r="AK8" i="100"/>
  <c r="AE7" i="100"/>
  <c r="AE11" i="100"/>
  <c r="AM7" i="100"/>
  <c r="AM11" i="100"/>
  <c r="AD8" i="100"/>
  <c r="AL8" i="100"/>
  <c r="AC9" i="100"/>
  <c r="AK9" i="100"/>
  <c r="AB10" i="100"/>
  <c r="AJ10" i="100"/>
  <c r="AI9" i="100"/>
  <c r="AL7" i="100"/>
  <c r="AL11" i="100"/>
  <c r="AJ9" i="100"/>
  <c r="AF7" i="100"/>
  <c r="AF11" i="100"/>
  <c r="AN7" i="100"/>
  <c r="AN11" i="100"/>
  <c r="AE8" i="100"/>
  <c r="AM8" i="100"/>
  <c r="AD9" i="100"/>
  <c r="AL9" i="100"/>
  <c r="AC10" i="100"/>
  <c r="AK10" i="100"/>
  <c r="AB9" i="100"/>
  <c r="Y11" i="100"/>
  <c r="AG7" i="100"/>
  <c r="AG11" i="100"/>
  <c r="AF8" i="100"/>
  <c r="AN8" i="100"/>
  <c r="AD10" i="100"/>
  <c r="AL10" i="100"/>
  <c r="AC7" i="100"/>
  <c r="AC11" i="100"/>
  <c r="Z10" i="100"/>
  <c r="AD7" i="100"/>
  <c r="AD11" i="100"/>
  <c r="AA10" i="100"/>
  <c r="Z7" i="100"/>
  <c r="Z11" i="100"/>
  <c r="AH7" i="100"/>
  <c r="AH11" i="100"/>
  <c r="Y8" i="100"/>
  <c r="AG8" i="100"/>
  <c r="AF9" i="100"/>
  <c r="AN9" i="100"/>
  <c r="AE10" i="100"/>
  <c r="AM10" i="100"/>
  <c r="W30" i="111"/>
  <c r="AA8" i="111"/>
  <c r="AI8" i="111"/>
  <c r="AC15" i="111"/>
  <c r="AK15" i="111"/>
  <c r="AC27" i="111"/>
  <c r="AK27" i="111"/>
  <c r="X47" i="111"/>
  <c r="AF47" i="111"/>
  <c r="W42" i="111"/>
  <c r="AE42" i="111"/>
  <c r="Z47" i="111"/>
  <c r="AH47" i="111"/>
  <c r="W7" i="111"/>
  <c r="AE7" i="111"/>
  <c r="Y30" i="111"/>
  <c r="AG30" i="111"/>
  <c r="W43" i="111"/>
  <c r="AE43" i="111"/>
  <c r="AA47" i="111"/>
  <c r="AI47" i="111"/>
  <c r="X50" i="111"/>
  <c r="AF50" i="111"/>
  <c r="AK17" i="111"/>
  <c r="AB18" i="111"/>
  <c r="AJ18" i="111"/>
  <c r="AE27" i="111"/>
  <c r="X15" i="111"/>
  <c r="AF15" i="111"/>
  <c r="X27" i="111"/>
  <c r="AF27" i="111"/>
  <c r="AI30" i="111"/>
  <c r="Z11" i="111"/>
  <c r="W40" i="111"/>
  <c r="AE40" i="111"/>
  <c r="W47" i="111"/>
  <c r="AE47" i="111"/>
  <c r="AI62" i="111"/>
  <c r="AH63" i="111"/>
  <c r="AK13" i="111"/>
  <c r="X7" i="111"/>
  <c r="AF7" i="111"/>
  <c r="W23" i="111"/>
  <c r="AE23" i="111"/>
  <c r="W44" i="111"/>
  <c r="AE44" i="111"/>
  <c r="AE51" i="111"/>
  <c r="Z59" i="111"/>
  <c r="AH59" i="111"/>
  <c r="W62" i="111"/>
  <c r="AH66" i="111"/>
  <c r="Y7" i="111"/>
  <c r="AG7" i="111"/>
  <c r="W14" i="111"/>
  <c r="AC29" i="111"/>
  <c r="W34" i="111"/>
  <c r="AE34" i="111"/>
  <c r="Z63" i="111"/>
  <c r="AA66" i="111"/>
  <c r="O203" i="100"/>
  <c r="AJ203" i="100" s="1"/>
  <c r="Z7" i="111"/>
  <c r="AH7" i="111"/>
  <c r="X14" i="111"/>
  <c r="AF14" i="111"/>
  <c r="W15" i="111"/>
  <c r="AE15" i="111"/>
  <c r="Y23" i="111"/>
  <c r="AG23" i="111"/>
  <c r="AG24" i="111"/>
  <c r="AA27" i="111"/>
  <c r="AI27" i="111"/>
  <c r="AA46" i="111"/>
  <c r="Z50" i="111"/>
  <c r="AH50" i="111"/>
  <c r="AA7" i="111"/>
  <c r="AI7" i="111"/>
  <c r="Z13" i="111"/>
  <c r="AH13" i="111"/>
  <c r="Z23" i="111"/>
  <c r="AH23" i="111"/>
  <c r="Z33" i="111"/>
  <c r="AH33" i="111"/>
  <c r="Y34" i="111"/>
  <c r="Z44" i="111"/>
  <c r="AH44" i="111"/>
  <c r="AA50" i="111"/>
  <c r="AI50" i="111"/>
  <c r="Z51" i="111"/>
  <c r="Z62" i="111"/>
  <c r="AH62" i="111"/>
  <c r="AG16" i="111"/>
  <c r="AA44" i="111"/>
  <c r="AI44" i="111"/>
  <c r="AC7" i="111"/>
  <c r="AK7" i="111"/>
  <c r="AA14" i="111"/>
  <c r="AI14" i="111"/>
  <c r="AB23" i="111"/>
  <c r="AJ23" i="111"/>
  <c r="W31" i="111"/>
  <c r="AE31" i="111"/>
  <c r="AC50" i="111"/>
  <c r="AK50" i="111"/>
  <c r="AE66" i="111"/>
  <c r="L12" i="114"/>
  <c r="K11" i="101"/>
  <c r="K11" i="115"/>
  <c r="J11" i="115"/>
  <c r="J13" i="117"/>
  <c r="I13" i="117"/>
  <c r="H21" i="98"/>
  <c r="AC10" i="111"/>
  <c r="AK10" i="111"/>
  <c r="AA18" i="111"/>
  <c r="AI18" i="111"/>
  <c r="W6" i="111"/>
  <c r="W10" i="111"/>
  <c r="AE10" i="111"/>
  <c r="X30" i="111"/>
  <c r="AF30" i="111"/>
  <c r="W46" i="111"/>
  <c r="X10" i="111"/>
  <c r="AF10" i="111"/>
  <c r="Y6" i="111"/>
  <c r="AG6" i="111"/>
  <c r="Z9" i="111"/>
  <c r="AH9" i="111"/>
  <c r="Y10" i="111"/>
  <c r="AG10" i="111"/>
  <c r="Z30" i="111"/>
  <c r="AH30" i="111"/>
  <c r="Z40" i="111"/>
  <c r="AH40" i="111"/>
  <c r="AG48" i="111"/>
  <c r="W58" i="111"/>
  <c r="AE58" i="111"/>
  <c r="AG59" i="111"/>
  <c r="AA62" i="111"/>
  <c r="AA30" i="111"/>
  <c r="AA40" i="111"/>
  <c r="AI40" i="111"/>
  <c r="Z43" i="111"/>
  <c r="AF49" i="111"/>
  <c r="AI6" i="111"/>
  <c r="AG8" i="111"/>
  <c r="AA10" i="111"/>
  <c r="AI10" i="111"/>
  <c r="AG28" i="111"/>
  <c r="AK29" i="111"/>
  <c r="AB30" i="111"/>
  <c r="AJ30" i="111"/>
  <c r="AI46" i="111"/>
  <c r="AI66" i="111"/>
  <c r="AB6" i="111"/>
  <c r="AJ6" i="111"/>
  <c r="AK9" i="111"/>
  <c r="AK25" i="111"/>
  <c r="Z41" i="111"/>
  <c r="AH41" i="111"/>
  <c r="Z64" i="111"/>
  <c r="AH64" i="111"/>
  <c r="D28" i="101"/>
  <c r="M199" i="100"/>
  <c r="W12" i="111"/>
  <c r="AE12" i="111"/>
  <c r="AC17" i="111"/>
  <c r="W24" i="111"/>
  <c r="AE24" i="111"/>
  <c r="X31" i="111"/>
  <c r="AF31" i="111"/>
  <c r="X42" i="111"/>
  <c r="AF42" i="111"/>
  <c r="AE46" i="111"/>
  <c r="W48" i="111"/>
  <c r="AE48" i="111"/>
  <c r="W61" i="111"/>
  <c r="AE61" i="111"/>
  <c r="AE62" i="111"/>
  <c r="W63" i="111"/>
  <c r="AE63" i="111"/>
  <c r="Y65" i="111"/>
  <c r="AG65" i="111"/>
  <c r="W66" i="111"/>
  <c r="AG34" i="111"/>
  <c r="X43" i="111"/>
  <c r="AF43" i="111"/>
  <c r="X46" i="111"/>
  <c r="AF46" i="111"/>
  <c r="X61" i="111"/>
  <c r="AF61" i="111"/>
  <c r="Z66" i="111"/>
  <c r="AA6" i="111"/>
  <c r="AB7" i="111"/>
  <c r="AJ7" i="111"/>
  <c r="AC14" i="111"/>
  <c r="AK14" i="111"/>
  <c r="W18" i="111"/>
  <c r="AE18" i="111"/>
  <c r="AB27" i="111"/>
  <c r="AJ27" i="111"/>
  <c r="AC30" i="111"/>
  <c r="AK30" i="111"/>
  <c r="Z31" i="111"/>
  <c r="AH31" i="111"/>
  <c r="AE35" i="111"/>
  <c r="AG40" i="111"/>
  <c r="Z42" i="111"/>
  <c r="AH42" i="111"/>
  <c r="Y43" i="111"/>
  <c r="AG43" i="111"/>
  <c r="AC47" i="111"/>
  <c r="AK47" i="111"/>
  <c r="W50" i="111"/>
  <c r="Z52" i="111"/>
  <c r="AH52" i="111"/>
  <c r="Y56" i="111"/>
  <c r="AG56" i="111"/>
  <c r="X57" i="111"/>
  <c r="AF57" i="111"/>
  <c r="X62" i="111"/>
  <c r="AF62" i="111"/>
  <c r="AA65" i="111"/>
  <c r="Y66" i="111"/>
  <c r="AG66" i="111"/>
  <c r="Z12" i="111"/>
  <c r="AH12" i="111"/>
  <c r="Z24" i="111"/>
  <c r="AH24" i="111"/>
  <c r="W26" i="111"/>
  <c r="AA31" i="111"/>
  <c r="AI31" i="111"/>
  <c r="AG32" i="111"/>
  <c r="AA34" i="111"/>
  <c r="AI34" i="111"/>
  <c r="AA42" i="111"/>
  <c r="AI42" i="111"/>
  <c r="AH43" i="111"/>
  <c r="Z46" i="111"/>
  <c r="AH46" i="111"/>
  <c r="Z48" i="111"/>
  <c r="AH48" i="111"/>
  <c r="AA52" i="111"/>
  <c r="AI52" i="111"/>
  <c r="Z61" i="111"/>
  <c r="AH61" i="111"/>
  <c r="Y62" i="111"/>
  <c r="AG62" i="111"/>
  <c r="AB65" i="111"/>
  <c r="AJ65" i="111"/>
  <c r="Z8" i="111"/>
  <c r="AH8" i="111"/>
  <c r="AA12" i="111"/>
  <c r="AI12" i="111"/>
  <c r="AE14" i="111"/>
  <c r="AA24" i="111"/>
  <c r="AI24" i="111"/>
  <c r="W27" i="111"/>
  <c r="AE30" i="111"/>
  <c r="AB31" i="111"/>
  <c r="AJ31" i="111"/>
  <c r="AB34" i="111"/>
  <c r="AJ34" i="111"/>
  <c r="AK41" i="111"/>
  <c r="AA43" i="111"/>
  <c r="AI43" i="111"/>
  <c r="AG44" i="111"/>
  <c r="AA48" i="111"/>
  <c r="AI48" i="111"/>
  <c r="Y49" i="111"/>
  <c r="AG49" i="111"/>
  <c r="W51" i="111"/>
  <c r="Z57" i="111"/>
  <c r="AH57" i="111"/>
  <c r="AA61" i="111"/>
  <c r="AI61" i="111"/>
  <c r="AA63" i="111"/>
  <c r="AI63" i="111"/>
  <c r="AG64" i="111"/>
  <c r="Z18" i="111"/>
  <c r="AH18" i="111"/>
  <c r="Z25" i="111"/>
  <c r="AH25" i="111"/>
  <c r="Z29" i="111"/>
  <c r="AH29" i="111"/>
  <c r="AC31" i="111"/>
  <c r="AK31" i="111"/>
  <c r="AH35" i="111"/>
  <c r="AC42" i="111"/>
  <c r="AK42" i="111"/>
  <c r="Z67" i="111"/>
  <c r="AC61" i="111"/>
  <c r="AK61" i="111"/>
  <c r="AC66" i="111"/>
  <c r="AK66" i="111"/>
  <c r="AG68" i="111"/>
  <c r="F12" i="114"/>
  <c r="D12" i="98"/>
  <c r="K13" i="117"/>
  <c r="E9" i="84"/>
  <c r="F9" i="84" s="1"/>
  <c r="E17" i="84"/>
  <c r="F17" i="84" s="1"/>
  <c r="N6" i="88"/>
  <c r="L11" i="115"/>
  <c r="K12" i="95"/>
  <c r="K16" i="95"/>
  <c r="N7" i="88"/>
  <c r="N8" i="88"/>
  <c r="N10" i="88"/>
  <c r="E28" i="95"/>
  <c r="S16" i="79"/>
  <c r="S52" i="79"/>
  <c r="S72" i="79"/>
  <c r="S88" i="79"/>
  <c r="S140" i="79"/>
  <c r="K7" i="88"/>
  <c r="K8" i="88"/>
  <c r="K12" i="88"/>
  <c r="E11" i="101"/>
  <c r="L13" i="117"/>
  <c r="E15" i="84"/>
  <c r="F15" i="84" s="1"/>
  <c r="N12" i="88"/>
  <c r="E20" i="117"/>
  <c r="D26" i="117"/>
  <c r="C32" i="117"/>
  <c r="S15" i="79"/>
  <c r="S23" i="79"/>
  <c r="S31" i="79"/>
  <c r="S39" i="79"/>
  <c r="S55" i="79"/>
  <c r="S63" i="79"/>
  <c r="S71" i="79"/>
  <c r="S91" i="79"/>
  <c r="S107" i="79"/>
  <c r="S109" i="79"/>
  <c r="S111" i="79"/>
  <c r="S123" i="79"/>
  <c r="S125" i="79"/>
  <c r="S127" i="79"/>
  <c r="S137" i="79"/>
  <c r="S139" i="79"/>
  <c r="E9" i="88"/>
  <c r="E10" i="88"/>
  <c r="E17" i="88"/>
  <c r="E18" i="88"/>
  <c r="H67" i="81"/>
  <c r="K139" i="87"/>
  <c r="H8" i="88"/>
  <c r="H13" i="88"/>
  <c r="K17" i="95"/>
  <c r="E6" i="84"/>
  <c r="F6" i="84" s="1"/>
  <c r="S141" i="79"/>
  <c r="S143" i="79"/>
  <c r="N11" i="88"/>
  <c r="K13" i="88"/>
  <c r="K14" i="88"/>
  <c r="K15" i="88"/>
  <c r="J139" i="87"/>
  <c r="N14" i="88"/>
  <c r="N15" i="88"/>
  <c r="N16" i="88"/>
  <c r="N18" i="88"/>
  <c r="S4" i="79"/>
  <c r="S6" i="79"/>
  <c r="S8" i="79"/>
  <c r="S96" i="79"/>
  <c r="S98" i="79"/>
  <c r="S100" i="79"/>
  <c r="S108" i="79"/>
  <c r="S110" i="79"/>
  <c r="S116" i="79"/>
  <c r="S132" i="79"/>
  <c r="K27" i="95"/>
  <c r="H9" i="88"/>
  <c r="K26" i="95"/>
  <c r="H16" i="88"/>
  <c r="I11" i="115"/>
  <c r="K34" i="95"/>
  <c r="K10" i="88"/>
  <c r="E13" i="84"/>
  <c r="F13" i="84" s="1"/>
  <c r="E6" i="88"/>
  <c r="S41" i="79"/>
  <c r="S73" i="79"/>
  <c r="K29" i="101"/>
  <c r="G41" i="114"/>
  <c r="S93" i="79"/>
  <c r="S105" i="79"/>
  <c r="S121" i="79"/>
  <c r="S22" i="79"/>
  <c r="S24" i="79"/>
  <c r="S28" i="79"/>
  <c r="S30" i="79"/>
  <c r="S32" i="79"/>
  <c r="S36" i="79"/>
  <c r="S38" i="79"/>
  <c r="S40" i="79"/>
  <c r="S44" i="79"/>
  <c r="S46" i="79"/>
  <c r="S48" i="79"/>
  <c r="S76" i="79"/>
  <c r="S78" i="79"/>
  <c r="S80" i="79"/>
  <c r="S86" i="79"/>
  <c r="F26" i="117"/>
  <c r="E32" i="117"/>
  <c r="G41" i="98"/>
  <c r="J37" i="81"/>
  <c r="E13" i="95"/>
  <c r="K15" i="95"/>
  <c r="E17" i="95"/>
  <c r="E24" i="95"/>
  <c r="E12" i="88"/>
  <c r="K29" i="95"/>
  <c r="E33" i="95"/>
  <c r="E14" i="84"/>
  <c r="F14" i="84" s="1"/>
  <c r="K9" i="95"/>
  <c r="E30" i="95"/>
  <c r="E7" i="84"/>
  <c r="F7" i="84" s="1"/>
  <c r="E12" i="84"/>
  <c r="F12" i="84" s="1"/>
  <c r="K6" i="88"/>
  <c r="K9" i="88"/>
  <c r="K7" i="95"/>
  <c r="G36" i="101"/>
  <c r="S92" i="79"/>
  <c r="C24" i="115"/>
  <c r="H16" i="98"/>
  <c r="H28" i="98"/>
  <c r="H30" i="98" s="1"/>
  <c r="E12" i="95"/>
  <c r="K13" i="95"/>
  <c r="E16" i="95"/>
  <c r="E23" i="95"/>
  <c r="K25" i="95"/>
  <c r="E32" i="95"/>
  <c r="N9" i="88"/>
  <c r="K11" i="88"/>
  <c r="K16" i="88"/>
  <c r="K32" i="95"/>
  <c r="E11" i="84"/>
  <c r="F11" i="84" s="1"/>
  <c r="E16" i="84"/>
  <c r="F16" i="84" s="1"/>
  <c r="E18" i="84"/>
  <c r="F18" i="84" s="1"/>
  <c r="I139" i="87"/>
  <c r="F13" i="89"/>
  <c r="F14" i="89" s="1"/>
  <c r="H14" i="88"/>
  <c r="E15" i="88"/>
  <c r="K17" i="88"/>
  <c r="K18" i="88"/>
  <c r="I11" i="101"/>
  <c r="S20" i="79"/>
  <c r="S81" i="79"/>
  <c r="S9" i="79"/>
  <c r="E29" i="101"/>
  <c r="F32" i="117"/>
  <c r="E16" i="98"/>
  <c r="K29" i="114"/>
  <c r="N17" i="88"/>
  <c r="C11" i="101"/>
  <c r="S17" i="79"/>
  <c r="S25" i="79"/>
  <c r="S33" i="79"/>
  <c r="S47" i="79"/>
  <c r="S119" i="79"/>
  <c r="S136" i="79"/>
  <c r="J16" i="98"/>
  <c r="H97" i="81"/>
  <c r="I97" i="81" s="1"/>
  <c r="K31" i="95"/>
  <c r="H15" i="88"/>
  <c r="E16" i="88"/>
  <c r="H6" i="88"/>
  <c r="E7" i="88"/>
  <c r="H10" i="88"/>
  <c r="E11" i="88"/>
  <c r="N13" i="88"/>
  <c r="S12" i="79"/>
  <c r="S14" i="79"/>
  <c r="S49" i="79"/>
  <c r="S57" i="79"/>
  <c r="S65" i="79"/>
  <c r="S79" i="79"/>
  <c r="S104" i="79"/>
  <c r="S144" i="79"/>
  <c r="S148" i="79"/>
  <c r="C11" i="115"/>
  <c r="E13" i="117"/>
  <c r="K29" i="98"/>
  <c r="E7" i="95"/>
  <c r="E27" i="95"/>
  <c r="E35" i="95"/>
  <c r="E139" i="87"/>
  <c r="M139" i="87"/>
  <c r="E31" i="95"/>
  <c r="F139" i="87"/>
  <c r="N139" i="87"/>
  <c r="H7" i="88"/>
  <c r="E8" i="88"/>
  <c r="H11" i="88"/>
  <c r="E13" i="88"/>
  <c r="E34" i="95"/>
  <c r="E8" i="84"/>
  <c r="F8" i="84" s="1"/>
  <c r="E10" i="84"/>
  <c r="F10" i="84" s="1"/>
  <c r="H12" i="88"/>
  <c r="E14" i="88"/>
  <c r="H17" i="88"/>
  <c r="H18" i="88"/>
  <c r="S85" i="79"/>
  <c r="S133" i="79"/>
  <c r="S7" i="79"/>
  <c r="S54" i="79"/>
  <c r="S56" i="79"/>
  <c r="S60" i="79"/>
  <c r="S62" i="79"/>
  <c r="S64" i="79"/>
  <c r="S68" i="79"/>
  <c r="S70" i="79"/>
  <c r="S99" i="79"/>
  <c r="S103" i="79"/>
  <c r="S120" i="79"/>
  <c r="S124" i="79"/>
  <c r="S149" i="79"/>
  <c r="S151" i="79"/>
  <c r="S153" i="79"/>
  <c r="E14" i="95"/>
  <c r="E18" i="95"/>
  <c r="K23" i="95"/>
  <c r="E25" i="95"/>
  <c r="K28" i="95"/>
  <c r="G74" i="105"/>
  <c r="S5" i="79"/>
  <c r="S11" i="79"/>
  <c r="S26" i="79"/>
  <c r="S37" i="79"/>
  <c r="S43" i="79"/>
  <c r="S58" i="79"/>
  <c r="S94" i="79"/>
  <c r="S135" i="79"/>
  <c r="S13" i="79"/>
  <c r="S19" i="79"/>
  <c r="S34" i="79"/>
  <c r="S45" i="79"/>
  <c r="S51" i="79"/>
  <c r="S66" i="79"/>
  <c r="S77" i="79"/>
  <c r="S83" i="79"/>
  <c r="S87" i="79"/>
  <c r="S102" i="79"/>
  <c r="S113" i="79"/>
  <c r="S115" i="79"/>
  <c r="S126" i="79"/>
  <c r="S152" i="79"/>
  <c r="S10" i="79"/>
  <c r="S21" i="79"/>
  <c r="S27" i="79"/>
  <c r="S42" i="79"/>
  <c r="S53" i="79"/>
  <c r="S59" i="79"/>
  <c r="S74" i="79"/>
  <c r="S89" i="79"/>
  <c r="S95" i="79"/>
  <c r="S117" i="79"/>
  <c r="S128" i="79"/>
  <c r="S134" i="79"/>
  <c r="S145" i="79"/>
  <c r="S147" i="79"/>
  <c r="S3" i="79"/>
  <c r="S18" i="79"/>
  <c r="S29" i="79"/>
  <c r="S35" i="79"/>
  <c r="S50" i="79"/>
  <c r="S61" i="79"/>
  <c r="S67" i="79"/>
  <c r="S82" i="79"/>
  <c r="S84" i="79"/>
  <c r="S97" i="79"/>
  <c r="C13" i="117"/>
  <c r="AK33" i="111"/>
  <c r="Y35" i="111"/>
  <c r="AG35" i="111"/>
  <c r="X51" i="111"/>
  <c r="AF51" i="111"/>
  <c r="E22" i="114"/>
  <c r="G22" i="114" s="1"/>
  <c r="Z35" i="111"/>
  <c r="D24" i="115"/>
  <c r="C30" i="115"/>
  <c r="C20" i="117"/>
  <c r="W11" i="111"/>
  <c r="W16" i="111"/>
  <c r="AE16" i="111"/>
  <c r="AA26" i="111"/>
  <c r="W28" i="111"/>
  <c r="AE28" i="111"/>
  <c r="AA35" i="111"/>
  <c r="AI35" i="111"/>
  <c r="AH51" i="111"/>
  <c r="AG52" i="111"/>
  <c r="M37" i="81"/>
  <c r="D11" i="115"/>
  <c r="E24" i="115"/>
  <c r="D30" i="115"/>
  <c r="F13" i="117"/>
  <c r="D20" i="117"/>
  <c r="C26" i="117"/>
  <c r="E22" i="98"/>
  <c r="G22" i="98" s="1"/>
  <c r="X11" i="111"/>
  <c r="AF11" i="111"/>
  <c r="AE11" i="111"/>
  <c r="X26" i="111"/>
  <c r="AF26" i="111"/>
  <c r="AE26" i="111"/>
  <c r="AA51" i="111"/>
  <c r="AI51" i="111"/>
  <c r="Z58" i="111"/>
  <c r="AH58" i="111"/>
  <c r="W59" i="111"/>
  <c r="AE59" i="111"/>
  <c r="AA67" i="111"/>
  <c r="AI67" i="111"/>
  <c r="E11" i="115"/>
  <c r="F24" i="115"/>
  <c r="E30" i="115"/>
  <c r="AE6" i="111"/>
  <c r="AH11" i="111"/>
  <c r="Y26" i="111"/>
  <c r="AG26" i="111"/>
  <c r="AI26" i="111"/>
  <c r="AA58" i="111"/>
  <c r="AI58" i="111"/>
  <c r="AG60" i="111"/>
  <c r="F30" i="115"/>
  <c r="F20" i="117"/>
  <c r="E26" i="117"/>
  <c r="D32" i="117"/>
  <c r="M15" i="98"/>
  <c r="H199" i="100"/>
  <c r="H198" i="100"/>
  <c r="S69" i="79"/>
  <c r="S75" i="79"/>
  <c r="S90" i="79"/>
  <c r="S101" i="79"/>
  <c r="S112" i="79"/>
  <c r="S118" i="79"/>
  <c r="S129" i="79"/>
  <c r="S131" i="79"/>
  <c r="S142" i="79"/>
  <c r="AA11" i="111"/>
  <c r="AI11" i="111"/>
  <c r="AA16" i="111"/>
  <c r="AI16" i="111"/>
  <c r="W35" i="111"/>
  <c r="AA59" i="111"/>
  <c r="AI59" i="111"/>
  <c r="AC6" i="111"/>
  <c r="AK6" i="111"/>
  <c r="AB11" i="111"/>
  <c r="AJ11" i="111"/>
  <c r="Z26" i="111"/>
  <c r="AH26" i="111"/>
  <c r="Y51" i="111"/>
  <c r="AG51" i="111"/>
  <c r="AC58" i="111"/>
  <c r="AK58" i="111"/>
  <c r="AC26" i="111"/>
  <c r="AK26" i="111"/>
  <c r="AE50" i="111"/>
  <c r="W52" i="111"/>
  <c r="AE52" i="111"/>
  <c r="X58" i="111"/>
  <c r="AF58" i="111"/>
  <c r="F198" i="100"/>
  <c r="G204" i="100"/>
  <c r="G203" i="100"/>
  <c r="P204" i="100"/>
  <c r="AK204" i="100" s="1"/>
  <c r="P203" i="100"/>
  <c r="AG67" i="111"/>
  <c r="AH67" i="111"/>
  <c r="Z6" i="111"/>
  <c r="AH6" i="111"/>
  <c r="AC9" i="111"/>
  <c r="AB10" i="111"/>
  <c r="AJ10" i="111"/>
  <c r="Y11" i="111"/>
  <c r="AG11" i="111"/>
  <c r="Z15" i="111"/>
  <c r="AH15" i="111"/>
  <c r="Y18" i="111"/>
  <c r="AG18" i="111"/>
  <c r="AC23" i="111"/>
  <c r="AK23" i="111"/>
  <c r="Z28" i="111"/>
  <c r="AH28" i="111"/>
  <c r="AA32" i="111"/>
  <c r="AI32" i="111"/>
  <c r="X34" i="111"/>
  <c r="AF34" i="111"/>
  <c r="AB35" i="111"/>
  <c r="AJ35" i="111"/>
  <c r="AC43" i="111"/>
  <c r="AK43" i="111"/>
  <c r="AF45" i="111"/>
  <c r="AC46" i="111"/>
  <c r="AK46" i="111"/>
  <c r="Y47" i="111"/>
  <c r="AG47" i="111"/>
  <c r="AC51" i="111"/>
  <c r="AK51" i="111"/>
  <c r="AF56" i="111"/>
  <c r="AC57" i="111"/>
  <c r="AK57" i="111"/>
  <c r="Y58" i="111"/>
  <c r="AG58" i="111"/>
  <c r="AC62" i="111"/>
  <c r="AK62" i="111"/>
  <c r="AB66" i="111"/>
  <c r="AJ66" i="111"/>
  <c r="E10" i="95"/>
  <c r="W8" i="111"/>
  <c r="AE8" i="111"/>
  <c r="Z10" i="111"/>
  <c r="AH10" i="111"/>
  <c r="AC11" i="111"/>
  <c r="AK11" i="111"/>
  <c r="AG12" i="111"/>
  <c r="Y14" i="111"/>
  <c r="AG14" i="111"/>
  <c r="AB15" i="111"/>
  <c r="AJ15" i="111"/>
  <c r="Z17" i="111"/>
  <c r="AH17" i="111"/>
  <c r="X18" i="111"/>
  <c r="AF18" i="111"/>
  <c r="AA23" i="111"/>
  <c r="AI23" i="111"/>
  <c r="AA28" i="111"/>
  <c r="AI28" i="111"/>
  <c r="Y31" i="111"/>
  <c r="AG31" i="111"/>
  <c r="Z32" i="111"/>
  <c r="AH32" i="111"/>
  <c r="AC34" i="111"/>
  <c r="AK34" i="111"/>
  <c r="X35" i="111"/>
  <c r="AF35" i="111"/>
  <c r="AC41" i="111"/>
  <c r="AB42" i="111"/>
  <c r="AJ42" i="111"/>
  <c r="AB46" i="111"/>
  <c r="AJ46" i="111"/>
  <c r="AB50" i="111"/>
  <c r="AJ50" i="111"/>
  <c r="AB57" i="111"/>
  <c r="AJ57" i="111"/>
  <c r="AB61" i="111"/>
  <c r="AJ61" i="111"/>
  <c r="AG63" i="111"/>
  <c r="X65" i="111"/>
  <c r="AF65" i="111"/>
  <c r="H37" i="81"/>
  <c r="E67" i="81"/>
  <c r="E8" i="95"/>
  <c r="K11" i="95"/>
  <c r="K8" i="95"/>
  <c r="X6" i="111"/>
  <c r="AF6" i="111"/>
  <c r="Y15" i="111"/>
  <c r="AG15" i="111"/>
  <c r="Z16" i="111"/>
  <c r="AH16" i="111"/>
  <c r="AC18" i="111"/>
  <c r="AK18" i="111"/>
  <c r="X23" i="111"/>
  <c r="AF23" i="111"/>
  <c r="AB26" i="111"/>
  <c r="AJ26" i="111"/>
  <c r="W32" i="111"/>
  <c r="AE32" i="111"/>
  <c r="Z34" i="111"/>
  <c r="AH34" i="111"/>
  <c r="AC35" i="111"/>
  <c r="AK35" i="111"/>
  <c r="Y42" i="111"/>
  <c r="AG42" i="111"/>
  <c r="AB43" i="111"/>
  <c r="AJ43" i="111"/>
  <c r="Z45" i="111"/>
  <c r="AH45" i="111"/>
  <c r="Y46" i="111"/>
  <c r="AG46" i="111"/>
  <c r="AB47" i="111"/>
  <c r="AJ47" i="111"/>
  <c r="Z49" i="111"/>
  <c r="AH49" i="111"/>
  <c r="Y50" i="111"/>
  <c r="AG50" i="111"/>
  <c r="AB51" i="111"/>
  <c r="AJ51" i="111"/>
  <c r="Z56" i="111"/>
  <c r="AH56" i="111"/>
  <c r="Y57" i="111"/>
  <c r="AG57" i="111"/>
  <c r="AB58" i="111"/>
  <c r="AJ58" i="111"/>
  <c r="Z60" i="111"/>
  <c r="AH60" i="111"/>
  <c r="Y61" i="111"/>
  <c r="AG61" i="111"/>
  <c r="AB62" i="111"/>
  <c r="AJ62" i="111"/>
  <c r="AC65" i="111"/>
  <c r="AK65" i="111"/>
  <c r="X66" i="111"/>
  <c r="AF66" i="111"/>
  <c r="W67" i="111"/>
  <c r="AE67" i="111"/>
  <c r="Z68" i="111"/>
  <c r="AH68" i="111"/>
  <c r="E37" i="81"/>
  <c r="K67" i="81"/>
  <c r="E16" i="114"/>
  <c r="J16" i="114"/>
  <c r="H29" i="114"/>
  <c r="J198" i="100"/>
  <c r="AE198" i="100" s="1"/>
  <c r="P198" i="100"/>
  <c r="AK198" i="100" s="1"/>
  <c r="Q199" i="100"/>
  <c r="AL199" i="100" s="1"/>
  <c r="H203" i="100"/>
  <c r="AC203" i="100" s="1"/>
  <c r="L198" i="100"/>
  <c r="AG198" i="100" s="1"/>
  <c r="F199" i="100"/>
  <c r="AA199" i="100" s="1"/>
  <c r="R199" i="100"/>
  <c r="AM199" i="100" s="1"/>
  <c r="N198" i="100"/>
  <c r="AI198" i="100" s="1"/>
  <c r="L203" i="100"/>
  <c r="AG203" i="100" s="1"/>
  <c r="J15" i="114"/>
  <c r="K28" i="114"/>
  <c r="G139" i="87"/>
  <c r="O138" i="87"/>
  <c r="O139" i="87" s="1"/>
  <c r="C139" i="87"/>
  <c r="E15" i="101"/>
  <c r="M16" i="101"/>
  <c r="H15" i="101"/>
  <c r="E16" i="101"/>
  <c r="J16" i="101"/>
  <c r="H16" i="101"/>
  <c r="E22" i="101"/>
  <c r="G22" i="101" s="1"/>
  <c r="H29" i="101"/>
  <c r="H61" i="106"/>
  <c r="E26" i="95"/>
  <c r="K33" i="95"/>
  <c r="E6" i="95"/>
  <c r="E9" i="95"/>
  <c r="E29" i="95"/>
  <c r="AE12" i="102"/>
  <c r="AH8" i="102"/>
  <c r="J97" i="98"/>
  <c r="J104" i="98" s="1"/>
  <c r="M94" i="98"/>
  <c r="L95" i="98"/>
  <c r="K96" i="98"/>
  <c r="E29" i="98"/>
  <c r="H110" i="98"/>
  <c r="C111" i="98"/>
  <c r="N111" i="98"/>
  <c r="N112" i="98"/>
  <c r="Q117" i="98"/>
  <c r="F119" i="98"/>
  <c r="L120" i="98"/>
  <c r="C124" i="98"/>
  <c r="H125" i="98"/>
  <c r="N126" i="98"/>
  <c r="O94" i="98"/>
  <c r="N95" i="98"/>
  <c r="M96" i="98"/>
  <c r="L97" i="98"/>
  <c r="L104" i="98" s="1"/>
  <c r="J110" i="98"/>
  <c r="D111" i="98"/>
  <c r="O111" i="98"/>
  <c r="C113" i="98"/>
  <c r="F118" i="98"/>
  <c r="L119" i="98"/>
  <c r="Q120" i="98"/>
  <c r="H124" i="98"/>
  <c r="N125" i="98"/>
  <c r="C127" i="98"/>
  <c r="E28" i="98"/>
  <c r="K28" i="98"/>
  <c r="H29" i="98"/>
  <c r="E94" i="98"/>
  <c r="D95" i="98"/>
  <c r="C96" i="98"/>
  <c r="S96" i="98"/>
  <c r="K103" i="98" s="1"/>
  <c r="R97" i="98"/>
  <c r="R104" i="98" s="1"/>
  <c r="C110" i="98"/>
  <c r="N110" i="98"/>
  <c r="H111" i="98"/>
  <c r="C112" i="98"/>
  <c r="H113" i="98"/>
  <c r="F117" i="98"/>
  <c r="L118" i="98"/>
  <c r="Q119" i="98"/>
  <c r="N124" i="98"/>
  <c r="C126" i="98"/>
  <c r="H127" i="98"/>
  <c r="G94" i="98"/>
  <c r="F95" i="98"/>
  <c r="E96" i="98"/>
  <c r="D97" i="98"/>
  <c r="D110" i="98"/>
  <c r="O110" i="98"/>
  <c r="J111" i="98"/>
  <c r="H112" i="98"/>
  <c r="N113" i="98"/>
  <c r="L117" i="98"/>
  <c r="Q118" i="98"/>
  <c r="F120" i="98"/>
  <c r="C125" i="98"/>
  <c r="H126" i="98"/>
  <c r="N127" i="98"/>
  <c r="H131" i="98"/>
  <c r="P131" i="98"/>
  <c r="H132" i="98"/>
  <c r="P132" i="98"/>
  <c r="H133" i="98"/>
  <c r="P133" i="98"/>
  <c r="H134" i="98"/>
  <c r="P134" i="98"/>
  <c r="J15" i="98"/>
  <c r="J17" i="98" s="1"/>
  <c r="H15" i="98"/>
  <c r="H17" i="98" s="1"/>
  <c r="E21" i="98"/>
  <c r="G21" i="98" s="1"/>
  <c r="D112" i="98"/>
  <c r="J112" i="98"/>
  <c r="O112" i="98"/>
  <c r="D113" i="98"/>
  <c r="J113" i="98"/>
  <c r="O113" i="98"/>
  <c r="H117" i="98"/>
  <c r="M117" i="98"/>
  <c r="R117" i="98"/>
  <c r="H118" i="98"/>
  <c r="M118" i="98"/>
  <c r="R118" i="98"/>
  <c r="H119" i="98"/>
  <c r="M119" i="98"/>
  <c r="R119" i="98"/>
  <c r="H120" i="98"/>
  <c r="M120" i="98"/>
  <c r="R120" i="98"/>
  <c r="D124" i="98"/>
  <c r="J124" i="98"/>
  <c r="O124" i="98"/>
  <c r="D125" i="98"/>
  <c r="J125" i="98"/>
  <c r="O125" i="98"/>
  <c r="D126" i="98"/>
  <c r="J126" i="98"/>
  <c r="O126" i="98"/>
  <c r="D127" i="98"/>
  <c r="J127" i="98"/>
  <c r="O127" i="98"/>
  <c r="J131" i="98"/>
  <c r="R131" i="98"/>
  <c r="J132" i="98"/>
  <c r="R132" i="98"/>
  <c r="J133" i="98"/>
  <c r="R133" i="98"/>
  <c r="J134" i="98"/>
  <c r="R134" i="98"/>
  <c r="I94" i="98"/>
  <c r="Q94" i="98"/>
  <c r="H95" i="98"/>
  <c r="P95" i="98"/>
  <c r="G96" i="98"/>
  <c r="O96" i="98"/>
  <c r="O103" i="98" s="1"/>
  <c r="F97" i="98"/>
  <c r="F104" i="98" s="1"/>
  <c r="N97" i="98"/>
  <c r="N104" i="98" s="1"/>
  <c r="F110" i="98"/>
  <c r="K110" i="98"/>
  <c r="P110" i="98"/>
  <c r="F111" i="98"/>
  <c r="K111" i="98"/>
  <c r="P111" i="98"/>
  <c r="F112" i="98"/>
  <c r="K112" i="98"/>
  <c r="P112" i="98"/>
  <c r="F113" i="98"/>
  <c r="K113" i="98"/>
  <c r="P113" i="98"/>
  <c r="D117" i="98"/>
  <c r="I117" i="98"/>
  <c r="N117" i="98"/>
  <c r="D118" i="98"/>
  <c r="I118" i="98"/>
  <c r="N118" i="98"/>
  <c r="D119" i="98"/>
  <c r="I119" i="98"/>
  <c r="N119" i="98"/>
  <c r="D120" i="98"/>
  <c r="I120" i="98"/>
  <c r="N120" i="98"/>
  <c r="F124" i="98"/>
  <c r="K124" i="98"/>
  <c r="P124" i="98"/>
  <c r="F125" i="98"/>
  <c r="K125" i="98"/>
  <c r="P125" i="98"/>
  <c r="F126" i="98"/>
  <c r="K126" i="98"/>
  <c r="P126" i="98"/>
  <c r="F127" i="98"/>
  <c r="K127" i="98"/>
  <c r="P127" i="98"/>
  <c r="D131" i="98"/>
  <c r="L131" i="98"/>
  <c r="D132" i="98"/>
  <c r="L132" i="98"/>
  <c r="D133" i="98"/>
  <c r="L133" i="98"/>
  <c r="D134" i="98"/>
  <c r="L134" i="98"/>
  <c r="E15" i="98"/>
  <c r="M16" i="98"/>
  <c r="C94" i="98"/>
  <c r="K94" i="98"/>
  <c r="S94" i="98"/>
  <c r="J95" i="98"/>
  <c r="R95" i="98"/>
  <c r="I96" i="98"/>
  <c r="I103" i="98" s="1"/>
  <c r="Q96" i="98"/>
  <c r="Q103" i="98" s="1"/>
  <c r="H97" i="98"/>
  <c r="H104" i="98" s="1"/>
  <c r="P97" i="98"/>
  <c r="P104" i="98" s="1"/>
  <c r="G110" i="98"/>
  <c r="L110" i="98"/>
  <c r="R110" i="98"/>
  <c r="G111" i="98"/>
  <c r="L111" i="98"/>
  <c r="R111" i="98"/>
  <c r="G112" i="98"/>
  <c r="L112" i="98"/>
  <c r="R112" i="98"/>
  <c r="G113" i="98"/>
  <c r="L113" i="98"/>
  <c r="R113" i="98"/>
  <c r="E117" i="98"/>
  <c r="J117" i="98"/>
  <c r="P117" i="98"/>
  <c r="E118" i="98"/>
  <c r="J118" i="98"/>
  <c r="P118" i="98"/>
  <c r="E119" i="98"/>
  <c r="J119" i="98"/>
  <c r="P119" i="98"/>
  <c r="E120" i="98"/>
  <c r="J120" i="98"/>
  <c r="P120" i="98"/>
  <c r="G124" i="98"/>
  <c r="L124" i="98"/>
  <c r="R124" i="98"/>
  <c r="G125" i="98"/>
  <c r="L125" i="98"/>
  <c r="R125" i="98"/>
  <c r="G126" i="98"/>
  <c r="L126" i="98"/>
  <c r="R126" i="98"/>
  <c r="G127" i="98"/>
  <c r="L127" i="98"/>
  <c r="R127" i="98"/>
  <c r="F131" i="98"/>
  <c r="N131" i="98"/>
  <c r="F132" i="98"/>
  <c r="N132" i="98"/>
  <c r="F133" i="98"/>
  <c r="N133" i="98"/>
  <c r="F134" i="98"/>
  <c r="N134" i="98"/>
  <c r="H16" i="114"/>
  <c r="M16" i="114"/>
  <c r="E29" i="114"/>
  <c r="D139" i="87"/>
  <c r="H139" i="87"/>
  <c r="L139" i="87"/>
  <c r="D61" i="106"/>
  <c r="M15" i="114"/>
  <c r="E28" i="114"/>
  <c r="D10" i="109"/>
  <c r="E73" i="109"/>
  <c r="D86" i="81"/>
  <c r="AD31" i="102"/>
  <c r="I24" i="102"/>
  <c r="AF34" i="102"/>
  <c r="E99" i="81"/>
  <c r="P85" i="109"/>
  <c r="F52" i="109"/>
  <c r="X87" i="108" a="1"/>
  <c r="X87" i="108" s="1"/>
  <c r="X90" i="108" a="1"/>
  <c r="X90" i="108" s="1"/>
  <c r="J32" i="110"/>
  <c r="P22" i="105"/>
  <c r="N87" i="109"/>
  <c r="AD45" i="108"/>
  <c r="AF10" i="110"/>
  <c r="AF45" i="110"/>
  <c r="AJ52" i="110"/>
  <c r="R25" i="105"/>
  <c r="Y46" i="110"/>
  <c r="F38" i="102"/>
  <c r="P39" i="102"/>
  <c r="J26" i="105"/>
  <c r="AF31" i="105"/>
  <c r="L60" i="105"/>
  <c r="H13" i="81"/>
  <c r="P36" i="102"/>
  <c r="L41" i="102"/>
  <c r="AC19" i="105"/>
  <c r="G24" i="105"/>
  <c r="D27" i="105"/>
  <c r="Y32" i="105"/>
  <c r="AH54" i="105"/>
  <c r="R61" i="105"/>
  <c r="D85" i="81"/>
  <c r="E109" i="81"/>
  <c r="U34" i="107"/>
  <c r="K41" i="109"/>
  <c r="D59" i="109"/>
  <c r="Q89" i="109"/>
  <c r="F26" i="108"/>
  <c r="AC74" i="108" a="1"/>
  <c r="AC74" i="108" s="1"/>
  <c r="V89" i="108" a="1"/>
  <c r="V89" i="108" s="1"/>
  <c r="L95" i="108" a="1"/>
  <c r="L95" i="108" s="1"/>
  <c r="H31" i="110"/>
  <c r="X66" i="110"/>
  <c r="F25" i="105"/>
  <c r="Z33" i="105"/>
  <c r="AG74" i="108" a="1"/>
  <c r="AG74" i="108" s="1"/>
  <c r="C61" i="110"/>
  <c r="AJ66" i="110"/>
  <c r="AD59" i="107"/>
  <c r="W52" i="108"/>
  <c r="AD73" i="108" a="1"/>
  <c r="AD73" i="108" s="1"/>
  <c r="AB75" i="108" a="1"/>
  <c r="AB75" i="108" s="1"/>
  <c r="N104" i="108" a="1"/>
  <c r="AF40" i="107"/>
  <c r="AF62" i="107"/>
  <c r="J25" i="109"/>
  <c r="D95" i="109"/>
  <c r="D69" i="108"/>
  <c r="AF73" i="108" a="1"/>
  <c r="AF73" i="108" s="1"/>
  <c r="R10" i="102"/>
  <c r="O27" i="102"/>
  <c r="R40" i="102"/>
  <c r="AG66" i="102"/>
  <c r="AF68" i="102"/>
  <c r="V81" i="102"/>
  <c r="X83" i="102"/>
  <c r="X87" i="102"/>
  <c r="X89" i="102"/>
  <c r="X96" i="102"/>
  <c r="AG97" i="102"/>
  <c r="V18" i="105"/>
  <c r="K25" i="105"/>
  <c r="R26" i="105"/>
  <c r="AB34" i="105"/>
  <c r="F39" i="105"/>
  <c r="L59" i="105"/>
  <c r="D62" i="105"/>
  <c r="AF81" i="105"/>
  <c r="X87" i="105"/>
  <c r="F94" i="105"/>
  <c r="J96" i="105"/>
  <c r="P97" i="105"/>
  <c r="I39" i="81"/>
  <c r="C57" i="81"/>
  <c r="E115" i="81"/>
  <c r="U60" i="107"/>
  <c r="D87" i="107"/>
  <c r="L102" i="107"/>
  <c r="M104" i="107"/>
  <c r="C11" i="109"/>
  <c r="F26" i="109"/>
  <c r="U32" i="109"/>
  <c r="R38" i="109"/>
  <c r="AE47" i="109"/>
  <c r="P90" i="109"/>
  <c r="Y48" i="108"/>
  <c r="AD53" i="108"/>
  <c r="P71" i="108" a="1"/>
  <c r="P71" i="108" s="1"/>
  <c r="AF12" i="110"/>
  <c r="AD39" i="110"/>
  <c r="K62" i="110"/>
  <c r="Y96" i="102"/>
  <c r="Z61" i="107"/>
  <c r="D101" i="107"/>
  <c r="R102" i="107"/>
  <c r="D12" i="109"/>
  <c r="H27" i="109"/>
  <c r="AF34" i="109"/>
  <c r="U55" i="108"/>
  <c r="Y74" i="108" a="1"/>
  <c r="Y74" i="108" s="1"/>
  <c r="AI76" i="108" a="1"/>
  <c r="AI76" i="108" s="1"/>
  <c r="N101" i="108" a="1"/>
  <c r="Q10" i="110"/>
  <c r="G33" i="110"/>
  <c r="AI67" i="110"/>
  <c r="AF67" i="102"/>
  <c r="AB69" i="102"/>
  <c r="Z81" i="102"/>
  <c r="AB83" i="102"/>
  <c r="AH87" i="102"/>
  <c r="Y89" i="102"/>
  <c r="P94" i="105"/>
  <c r="P96" i="105"/>
  <c r="J24" i="102"/>
  <c r="K39" i="102"/>
  <c r="AH64" i="102"/>
  <c r="AG67" i="102"/>
  <c r="AD69" i="102"/>
  <c r="AJ81" i="102"/>
  <c r="U88" i="102"/>
  <c r="V90" i="102"/>
  <c r="AC94" i="102"/>
  <c r="AF96" i="102"/>
  <c r="P24" i="105"/>
  <c r="F26" i="105"/>
  <c r="P36" i="105"/>
  <c r="L40" i="105"/>
  <c r="D76" i="105"/>
  <c r="AH78" i="105"/>
  <c r="P92" i="105"/>
  <c r="D95" i="105"/>
  <c r="R96" i="105"/>
  <c r="K48" i="81"/>
  <c r="AB31" i="107"/>
  <c r="AC38" i="107"/>
  <c r="V59" i="107"/>
  <c r="AG61" i="107"/>
  <c r="H101" i="107"/>
  <c r="L103" i="107"/>
  <c r="C13" i="109"/>
  <c r="H89" i="109"/>
  <c r="F73" i="108"/>
  <c r="P59" i="110"/>
  <c r="R39" i="105"/>
  <c r="AB83" i="105"/>
  <c r="O26" i="102"/>
  <c r="X66" i="102"/>
  <c r="X68" i="102"/>
  <c r="U80" i="102"/>
  <c r="AC82" i="102"/>
  <c r="AD88" i="102"/>
  <c r="AC90" i="102"/>
  <c r="Y95" i="102"/>
  <c r="AD97" i="102"/>
  <c r="AG80" i="105"/>
  <c r="F95" i="105"/>
  <c r="G97" i="105"/>
  <c r="E102" i="107"/>
  <c r="I104" i="107"/>
  <c r="F61" i="81"/>
  <c r="I61" i="81"/>
  <c r="J61" i="81" s="1"/>
  <c r="L34" i="105"/>
  <c r="G32" i="105"/>
  <c r="L48" i="105"/>
  <c r="O45" i="105"/>
  <c r="K47" i="105"/>
  <c r="J11" i="102"/>
  <c r="AB73" i="102"/>
  <c r="R32" i="105"/>
  <c r="O34" i="105"/>
  <c r="D48" i="105"/>
  <c r="H25" i="81"/>
  <c r="J90" i="102"/>
  <c r="O90" i="105"/>
  <c r="P85" i="105"/>
  <c r="L88" i="105"/>
  <c r="R102" i="105"/>
  <c r="P99" i="105"/>
  <c r="P103" i="105"/>
  <c r="M12" i="102"/>
  <c r="AB20" i="102"/>
  <c r="F52" i="102"/>
  <c r="AG74" i="102"/>
  <c r="AD20" i="105"/>
  <c r="F31" i="105"/>
  <c r="F45" i="105"/>
  <c r="L62" i="105"/>
  <c r="J62" i="105"/>
  <c r="J61" i="105"/>
  <c r="G60" i="105"/>
  <c r="F59" i="105"/>
  <c r="O59" i="105"/>
  <c r="F61" i="105"/>
  <c r="O62" i="105"/>
  <c r="R75" i="105"/>
  <c r="J73" i="105"/>
  <c r="K74" i="105"/>
  <c r="J89" i="105"/>
  <c r="K104" i="105"/>
  <c r="F10" i="102"/>
  <c r="N13" i="102"/>
  <c r="F26" i="102"/>
  <c r="R38" i="102"/>
  <c r="V67" i="102"/>
  <c r="AD68" i="102"/>
  <c r="AC80" i="102"/>
  <c r="U82" i="102"/>
  <c r="AH83" i="102"/>
  <c r="AF87" i="102"/>
  <c r="AB88" i="102"/>
  <c r="AF89" i="102"/>
  <c r="Z95" i="102"/>
  <c r="X97" i="102"/>
  <c r="X17" i="105"/>
  <c r="L27" i="105"/>
  <c r="G27" i="105"/>
  <c r="L24" i="105"/>
  <c r="O25" i="105"/>
  <c r="L26" i="105"/>
  <c r="P27" i="105"/>
  <c r="O31" i="105"/>
  <c r="K33" i="105"/>
  <c r="L41" i="105"/>
  <c r="R41" i="105"/>
  <c r="D40" i="105"/>
  <c r="J38" i="105"/>
  <c r="G39" i="105"/>
  <c r="P41" i="105"/>
  <c r="R46" i="105"/>
  <c r="AD55" i="105"/>
  <c r="X55" i="105"/>
  <c r="P57" i="105"/>
  <c r="D60" i="105"/>
  <c r="K61" i="105"/>
  <c r="R62" i="105"/>
  <c r="P71" i="105"/>
  <c r="F75" i="105"/>
  <c r="L87" i="105"/>
  <c r="K90" i="105"/>
  <c r="J101" i="105"/>
  <c r="H9" i="81"/>
  <c r="D9" i="81"/>
  <c r="F68" i="81"/>
  <c r="I85" i="81"/>
  <c r="AD19" i="107"/>
  <c r="AF32" i="107"/>
  <c r="Y74" i="107"/>
  <c r="L89" i="107"/>
  <c r="D94" i="107"/>
  <c r="P95" i="107"/>
  <c r="I97" i="107"/>
  <c r="N10" i="109"/>
  <c r="L11" i="109"/>
  <c r="L12" i="109"/>
  <c r="N13" i="109"/>
  <c r="P24" i="109"/>
  <c r="P25" i="109"/>
  <c r="R26" i="109"/>
  <c r="N61" i="109"/>
  <c r="I66" i="109"/>
  <c r="F76" i="109"/>
  <c r="AJ13" i="108"/>
  <c r="Z47" i="108"/>
  <c r="U53" i="108"/>
  <c r="Z54" i="108"/>
  <c r="AC55" i="108"/>
  <c r="AC62" i="108"/>
  <c r="E80" i="108" a="1"/>
  <c r="E80" i="108" s="1"/>
  <c r="K103" i="108" a="1"/>
  <c r="Z13" i="110"/>
  <c r="AD17" i="110"/>
  <c r="J25" i="110"/>
  <c r="L45" i="110"/>
  <c r="Z31" i="107"/>
  <c r="AD33" i="107"/>
  <c r="AC41" i="107"/>
  <c r="V76" i="107"/>
  <c r="I90" i="107"/>
  <c r="L94" i="107"/>
  <c r="E96" i="107"/>
  <c r="P97" i="107"/>
  <c r="Q10" i="109"/>
  <c r="P11" i="109"/>
  <c r="R12" i="109"/>
  <c r="R13" i="109"/>
  <c r="P22" i="109"/>
  <c r="Q24" i="109"/>
  <c r="E26" i="109"/>
  <c r="F27" i="109"/>
  <c r="Q40" i="109"/>
  <c r="AA45" i="109"/>
  <c r="P62" i="109"/>
  <c r="C67" i="109"/>
  <c r="AA94" i="109"/>
  <c r="Z45" i="108"/>
  <c r="AH47" i="108"/>
  <c r="U52" i="108"/>
  <c r="W53" i="108"/>
  <c r="AC54" i="108"/>
  <c r="G101" i="108" a="1"/>
  <c r="G101" i="108" s="1"/>
  <c r="M103" i="108" a="1"/>
  <c r="X12" i="110"/>
  <c r="C19" i="110"/>
  <c r="X40" i="110"/>
  <c r="P43" i="110" a="1"/>
  <c r="P43" i="110" s="1"/>
  <c r="D47" i="110"/>
  <c r="AE53" i="110"/>
  <c r="AF73" i="110" a="1"/>
  <c r="AF73" i="110" s="1"/>
  <c r="E95" i="107"/>
  <c r="L96" i="107"/>
  <c r="R97" i="107"/>
  <c r="N68" i="109"/>
  <c r="P31" i="110"/>
  <c r="O33" i="110"/>
  <c r="AH36" i="110" a="1"/>
  <c r="AH36" i="110" s="1"/>
  <c r="V41" i="110"/>
  <c r="D46" i="110"/>
  <c r="U47" i="110"/>
  <c r="AH50" i="110" a="1"/>
  <c r="R59" i="110"/>
  <c r="Y33" i="105"/>
  <c r="AG34" i="105"/>
  <c r="O94" i="105"/>
  <c r="L95" i="105"/>
  <c r="D97" i="105"/>
  <c r="D68" i="81"/>
  <c r="F85" i="81"/>
  <c r="J86" i="81"/>
  <c r="K86" i="81" s="1"/>
  <c r="E117" i="81"/>
  <c r="X17" i="107"/>
  <c r="Z32" i="107"/>
  <c r="AJ60" i="107"/>
  <c r="L95" i="107"/>
  <c r="P96" i="107"/>
  <c r="R101" i="107"/>
  <c r="I103" i="107"/>
  <c r="P104" i="107"/>
  <c r="H10" i="109"/>
  <c r="K11" i="109"/>
  <c r="H12" i="109"/>
  <c r="J13" i="109"/>
  <c r="H24" i="109"/>
  <c r="K25" i="109"/>
  <c r="L26" i="109"/>
  <c r="O27" i="109"/>
  <c r="H38" i="109"/>
  <c r="Y48" i="109"/>
  <c r="J69" i="109"/>
  <c r="AC52" i="108"/>
  <c r="AI53" i="108"/>
  <c r="H67" i="108"/>
  <c r="O74" i="108"/>
  <c r="I97" i="108" a="1"/>
  <c r="X11" i="110"/>
  <c r="X13" i="110"/>
  <c r="N17" i="110"/>
  <c r="P29" i="110" a="1"/>
  <c r="P29" i="110" s="1"/>
  <c r="H32" i="110"/>
  <c r="H34" i="110"/>
  <c r="AF38" i="110"/>
  <c r="AI41" i="110"/>
  <c r="D45" i="110"/>
  <c r="U46" i="110"/>
  <c r="AE52" i="110"/>
  <c r="P57" i="110" a="1"/>
  <c r="P57" i="110" s="1"/>
  <c r="L60" i="110"/>
  <c r="P78" i="110" a="1"/>
  <c r="H88" i="110" a="1"/>
  <c r="H88" i="110" s="1"/>
  <c r="L90" i="102"/>
  <c r="P90" i="102"/>
  <c r="P89" i="102"/>
  <c r="D89" i="102"/>
  <c r="R88" i="102"/>
  <c r="F88" i="102"/>
  <c r="F87" i="102"/>
  <c r="L87" i="102"/>
  <c r="K89" i="102"/>
  <c r="R90" i="102"/>
  <c r="AG95" i="105"/>
  <c r="AJ96" i="105"/>
  <c r="F56" i="81"/>
  <c r="I56" i="81"/>
  <c r="D56" i="81"/>
  <c r="AC48" i="102"/>
  <c r="U46" i="102"/>
  <c r="L55" i="102"/>
  <c r="G55" i="102"/>
  <c r="P53" i="102"/>
  <c r="F53" i="102"/>
  <c r="K67" i="102"/>
  <c r="J68" i="102"/>
  <c r="P69" i="102"/>
  <c r="AH76" i="102"/>
  <c r="AJ76" i="102"/>
  <c r="AF75" i="102"/>
  <c r="AF74" i="102"/>
  <c r="AF73" i="102"/>
  <c r="U74" i="102"/>
  <c r="AC75" i="102"/>
  <c r="L13" i="105"/>
  <c r="K13" i="105"/>
  <c r="J12" i="105"/>
  <c r="F11" i="105"/>
  <c r="J13" i="105"/>
  <c r="F12" i="105"/>
  <c r="D11" i="105"/>
  <c r="L10" i="105"/>
  <c r="R12" i="105"/>
  <c r="L17" i="105"/>
  <c r="U38" i="105"/>
  <c r="O53" i="105"/>
  <c r="AC97" i="105"/>
  <c r="AJ97" i="105"/>
  <c r="U96" i="105"/>
  <c r="AH94" i="105"/>
  <c r="AH97" i="105"/>
  <c r="AJ95" i="105"/>
  <c r="U94" i="105"/>
  <c r="AF17" i="102"/>
  <c r="V45" i="102"/>
  <c r="R53" i="102"/>
  <c r="U73" i="102"/>
  <c r="Z74" i="102"/>
  <c r="Y76" i="102"/>
  <c r="P85" i="102"/>
  <c r="O87" i="102"/>
  <c r="G88" i="102"/>
  <c r="L89" i="102"/>
  <c r="G90" i="102"/>
  <c r="AG104" i="102"/>
  <c r="AG102" i="102"/>
  <c r="P8" i="105"/>
  <c r="L11" i="105"/>
  <c r="R13" i="105"/>
  <c r="J52" i="105"/>
  <c r="D54" i="105"/>
  <c r="AH83" i="105"/>
  <c r="AG83" i="105"/>
  <c r="AH82" i="105"/>
  <c r="X82" i="105"/>
  <c r="Y81" i="105"/>
  <c r="Z80" i="105"/>
  <c r="AD83" i="105"/>
  <c r="AF82" i="105"/>
  <c r="AG81" i="105"/>
  <c r="V81" i="105"/>
  <c r="X80" i="105"/>
  <c r="Z81" i="105"/>
  <c r="X83" i="105"/>
  <c r="L104" i="105"/>
  <c r="J104" i="105"/>
  <c r="K103" i="105"/>
  <c r="O102" i="105"/>
  <c r="D102" i="105"/>
  <c r="F101" i="105"/>
  <c r="R104" i="105"/>
  <c r="D104" i="105"/>
  <c r="J103" i="105"/>
  <c r="L102" i="105"/>
  <c r="O101" i="105"/>
  <c r="L101" i="105"/>
  <c r="F103" i="105"/>
  <c r="O104" i="105"/>
  <c r="F40" i="81"/>
  <c r="H40" i="81" s="1"/>
  <c r="D40" i="81"/>
  <c r="E40" i="81" s="1"/>
  <c r="C40" i="81"/>
  <c r="K46" i="81"/>
  <c r="I46" i="81"/>
  <c r="C46" i="81"/>
  <c r="F51" i="81"/>
  <c r="K51" i="81"/>
  <c r="D51" i="81"/>
  <c r="AE10" i="102"/>
  <c r="W12" i="102"/>
  <c r="W10" i="102"/>
  <c r="AE11" i="102"/>
  <c r="AE13" i="102"/>
  <c r="L69" i="102"/>
  <c r="G69" i="102"/>
  <c r="R68" i="102"/>
  <c r="L20" i="105"/>
  <c r="G20" i="105"/>
  <c r="D19" i="105"/>
  <c r="D18" i="105"/>
  <c r="L18" i="105"/>
  <c r="P20" i="105"/>
  <c r="AC41" i="105"/>
  <c r="AJ41" i="105"/>
  <c r="L55" i="105"/>
  <c r="K55" i="105"/>
  <c r="P54" i="105"/>
  <c r="F53" i="105"/>
  <c r="G52" i="105"/>
  <c r="D55" i="105"/>
  <c r="L54" i="105"/>
  <c r="R53" i="105"/>
  <c r="P52" i="105"/>
  <c r="F54" i="105"/>
  <c r="F52" i="81"/>
  <c r="G52" i="81"/>
  <c r="D52" i="81"/>
  <c r="E52" i="81" s="1"/>
  <c r="AC34" i="102"/>
  <c r="AD33" i="102"/>
  <c r="K40" i="102"/>
  <c r="P41" i="102"/>
  <c r="P40" i="102"/>
  <c r="F39" i="102"/>
  <c r="O38" i="102"/>
  <c r="G40" i="102"/>
  <c r="AF48" i="102"/>
  <c r="O52" i="102"/>
  <c r="R54" i="102"/>
  <c r="AH73" i="102"/>
  <c r="Z75" i="102"/>
  <c r="AG76" i="102"/>
  <c r="J87" i="102"/>
  <c r="O88" i="102"/>
  <c r="F89" i="102"/>
  <c r="K90" i="102"/>
  <c r="AB104" i="102"/>
  <c r="J10" i="105"/>
  <c r="P12" i="105"/>
  <c r="U40" i="105"/>
  <c r="P50" i="105"/>
  <c r="G53" i="105"/>
  <c r="L76" i="105"/>
  <c r="J76" i="105"/>
  <c r="P75" i="105"/>
  <c r="R74" i="105"/>
  <c r="D74" i="105"/>
  <c r="F73" i="105"/>
  <c r="R76" i="105"/>
  <c r="G76" i="105"/>
  <c r="K75" i="105"/>
  <c r="L74" i="105"/>
  <c r="O73" i="105"/>
  <c r="L73" i="105"/>
  <c r="J75" i="105"/>
  <c r="P76" i="105"/>
  <c r="AC80" i="105"/>
  <c r="Y82" i="105"/>
  <c r="R90" i="105"/>
  <c r="F89" i="105"/>
  <c r="F88" i="105"/>
  <c r="J87" i="105"/>
  <c r="R89" i="105"/>
  <c r="D88" i="105"/>
  <c r="P89" i="105"/>
  <c r="U95" i="105"/>
  <c r="G102" i="105"/>
  <c r="R103" i="105"/>
  <c r="L40" i="81"/>
  <c r="D47" i="81"/>
  <c r="C52" i="81"/>
  <c r="Y27" i="107"/>
  <c r="AH27" i="107"/>
  <c r="AC25" i="107"/>
  <c r="AF20" i="109"/>
  <c r="X19" i="109"/>
  <c r="W17" i="109"/>
  <c r="AD18" i="109"/>
  <c r="L48" i="109"/>
  <c r="F48" i="109"/>
  <c r="R46" i="109"/>
  <c r="Q45" i="109"/>
  <c r="E47" i="109"/>
  <c r="G83" i="109"/>
  <c r="Q82" i="109"/>
  <c r="K81" i="109"/>
  <c r="R104" i="109"/>
  <c r="I104" i="109"/>
  <c r="C103" i="109"/>
  <c r="K101" i="109"/>
  <c r="F103" i="109"/>
  <c r="F101" i="109"/>
  <c r="I102" i="109"/>
  <c r="AH83" i="108" a="1"/>
  <c r="AH83" i="108" s="1"/>
  <c r="AG83" i="108" a="1"/>
  <c r="AG83" i="108" s="1"/>
  <c r="AJ82" i="108" a="1"/>
  <c r="AJ82" i="108" s="1"/>
  <c r="X82" i="108" a="1"/>
  <c r="X82" i="108" s="1"/>
  <c r="AB81" i="108" a="1"/>
  <c r="AB81" i="108" s="1"/>
  <c r="AH80" i="108" a="1"/>
  <c r="AH80" i="108" s="1"/>
  <c r="U80" i="108" a="1"/>
  <c r="U80" i="108" s="1"/>
  <c r="Y83" i="108" a="1"/>
  <c r="Y83" i="108" s="1"/>
  <c r="AJ81" i="108" a="1"/>
  <c r="AJ81" i="108" s="1"/>
  <c r="U81" i="108" a="1"/>
  <c r="U81" i="108" s="1"/>
  <c r="W80" i="108" a="1"/>
  <c r="W80" i="108" s="1"/>
  <c r="AE83" i="108" a="1"/>
  <c r="AE83" i="108" s="1"/>
  <c r="AC82" i="108" a="1"/>
  <c r="AC82" i="108" s="1"/>
  <c r="AC81" i="108" a="1"/>
  <c r="AC81" i="108" s="1"/>
  <c r="AC80" i="108" a="1"/>
  <c r="AC80" i="108" s="1"/>
  <c r="AJ80" i="108" a="1"/>
  <c r="AJ80" i="108" s="1"/>
  <c r="AE82" i="108" a="1"/>
  <c r="AE82" i="108" s="1"/>
  <c r="AB17" i="105"/>
  <c r="AB18" i="105"/>
  <c r="AD19" i="105"/>
  <c r="AJ20" i="105"/>
  <c r="D57" i="81"/>
  <c r="E57" i="81" s="1"/>
  <c r="D64" i="81"/>
  <c r="E103" i="81"/>
  <c r="AH17" i="107"/>
  <c r="X20" i="107"/>
  <c r="U24" i="107"/>
  <c r="Z26" i="107"/>
  <c r="AI34" i="107"/>
  <c r="AD34" i="107"/>
  <c r="AF33" i="107"/>
  <c r="AG32" i="107"/>
  <c r="AJ31" i="107"/>
  <c r="U31" i="107"/>
  <c r="AG31" i="107"/>
  <c r="V33" i="107"/>
  <c r="V34" i="107"/>
  <c r="X41" i="107"/>
  <c r="U41" i="107"/>
  <c r="AB39" i="107"/>
  <c r="U38" i="107"/>
  <c r="AG39" i="107"/>
  <c r="AH41" i="107"/>
  <c r="R90" i="107"/>
  <c r="I89" i="107"/>
  <c r="N87" i="107"/>
  <c r="L88" i="107"/>
  <c r="M90" i="107"/>
  <c r="AC13" i="109"/>
  <c r="AB13" i="109"/>
  <c r="AG11" i="109"/>
  <c r="AF15" i="109"/>
  <c r="AF19" i="109"/>
  <c r="J47" i="109"/>
  <c r="L55" i="109"/>
  <c r="O55" i="109"/>
  <c r="P54" i="109"/>
  <c r="P78" i="109"/>
  <c r="L82" i="109"/>
  <c r="C101" i="109"/>
  <c r="M103" i="109"/>
  <c r="AE13" i="108"/>
  <c r="AF10" i="108"/>
  <c r="AF12" i="108"/>
  <c r="AH32" i="108"/>
  <c r="E61" i="108"/>
  <c r="F60" i="108"/>
  <c r="C62" i="108"/>
  <c r="W81" i="108" a="1"/>
  <c r="W81" i="108" s="1"/>
  <c r="Z83" i="108" a="1"/>
  <c r="Z83" i="108" s="1"/>
  <c r="E94" i="108" a="1"/>
  <c r="R95" i="108" a="1"/>
  <c r="R95" i="108" s="1"/>
  <c r="R97" i="108" a="1"/>
  <c r="R97" i="108" s="1"/>
  <c r="Q13" i="110"/>
  <c r="E10" i="110"/>
  <c r="AC52" i="105"/>
  <c r="AG55" i="105"/>
  <c r="Z88" i="105"/>
  <c r="AB90" i="105"/>
  <c r="J25" i="102"/>
  <c r="Z66" i="102"/>
  <c r="Y67" i="102"/>
  <c r="AB80" i="102"/>
  <c r="AG81" i="102"/>
  <c r="AD82" i="102"/>
  <c r="AJ83" i="102"/>
  <c r="V87" i="102"/>
  <c r="AJ89" i="102"/>
  <c r="AD90" i="102"/>
  <c r="Z94" i="102"/>
  <c r="AG95" i="102"/>
  <c r="AH96" i="102"/>
  <c r="AH15" i="105"/>
  <c r="J24" i="105"/>
  <c r="G25" i="105"/>
  <c r="D26" i="105"/>
  <c r="P26" i="105"/>
  <c r="K27" i="105"/>
  <c r="AG31" i="105"/>
  <c r="AG32" i="105"/>
  <c r="D34" i="105"/>
  <c r="L38" i="105"/>
  <c r="O39" i="105"/>
  <c r="K40" i="105"/>
  <c r="J41" i="105"/>
  <c r="G46" i="105"/>
  <c r="O48" i="105"/>
  <c r="Z53" i="105"/>
  <c r="J59" i="105"/>
  <c r="F60" i="105"/>
  <c r="R60" i="105"/>
  <c r="P61" i="105"/>
  <c r="K62" i="105"/>
  <c r="AF89" i="105"/>
  <c r="J94" i="105"/>
  <c r="O95" i="105"/>
  <c r="F96" i="105"/>
  <c r="D39" i="81"/>
  <c r="G49" i="81"/>
  <c r="H49" i="81" s="1"/>
  <c r="I57" i="81"/>
  <c r="G63" i="81"/>
  <c r="H63" i="81" s="1"/>
  <c r="I64" i="81"/>
  <c r="I77" i="81"/>
  <c r="E101" i="81"/>
  <c r="E107" i="81"/>
  <c r="E123" i="81"/>
  <c r="AB18" i="107"/>
  <c r="AG20" i="107"/>
  <c r="Y24" i="107"/>
  <c r="AF26" i="107"/>
  <c r="AH29" i="107"/>
  <c r="Y32" i="107"/>
  <c r="Y33" i="107"/>
  <c r="AB34" i="107"/>
  <c r="Z38" i="107"/>
  <c r="Z40" i="107"/>
  <c r="AD76" i="107"/>
  <c r="X75" i="107"/>
  <c r="AJ76" i="107"/>
  <c r="P88" i="107"/>
  <c r="Z12" i="109"/>
  <c r="AE17" i="109"/>
  <c r="U20" i="109"/>
  <c r="AF24" i="109"/>
  <c r="Y34" i="109"/>
  <c r="X31" i="109"/>
  <c r="D45" i="109"/>
  <c r="F46" i="109"/>
  <c r="D61" i="109"/>
  <c r="G62" i="109"/>
  <c r="L59" i="109"/>
  <c r="K60" i="109"/>
  <c r="O97" i="109"/>
  <c r="F95" i="109"/>
  <c r="D94" i="109"/>
  <c r="L96" i="109"/>
  <c r="J94" i="109"/>
  <c r="E96" i="109"/>
  <c r="R101" i="109"/>
  <c r="F104" i="109"/>
  <c r="AJ10" i="108"/>
  <c r="AJ19" i="108"/>
  <c r="AF17" i="108"/>
  <c r="AD34" i="108"/>
  <c r="AC48" i="108"/>
  <c r="AE48" i="108"/>
  <c r="AD47" i="108"/>
  <c r="AC46" i="108"/>
  <c r="W45" i="108"/>
  <c r="W48" i="108"/>
  <c r="AE46" i="108"/>
  <c r="AH43" i="108" a="1"/>
  <c r="AH43" i="108" s="1"/>
  <c r="U47" i="108"/>
  <c r="AI48" i="108"/>
  <c r="AH81" i="108" a="1"/>
  <c r="AH81" i="108" s="1"/>
  <c r="L94" i="108" a="1"/>
  <c r="L94" i="108" s="1"/>
  <c r="P11" i="110"/>
  <c r="R27" i="110"/>
  <c r="N26" i="110"/>
  <c r="E25" i="110"/>
  <c r="P22" i="110" a="1"/>
  <c r="P22" i="110" s="1"/>
  <c r="N27" i="110"/>
  <c r="D26" i="110"/>
  <c r="R26" i="110"/>
  <c r="M24" i="110"/>
  <c r="E26" i="110"/>
  <c r="J24" i="110"/>
  <c r="L63" i="81"/>
  <c r="AJ18" i="107"/>
  <c r="X25" i="107"/>
  <c r="AD27" i="107"/>
  <c r="AB18" i="109"/>
  <c r="AC20" i="109"/>
  <c r="E45" i="109"/>
  <c r="K46" i="109"/>
  <c r="N48" i="109"/>
  <c r="P80" i="109"/>
  <c r="C102" i="109"/>
  <c r="Q104" i="109"/>
  <c r="AB80" i="108" a="1"/>
  <c r="AB80" i="108" s="1"/>
  <c r="Y82" i="108" a="1"/>
  <c r="Y82" i="108" s="1"/>
  <c r="O97" i="108" a="1"/>
  <c r="Q96" i="108" a="1"/>
  <c r="D96" i="108" a="1"/>
  <c r="D96" i="108" s="1"/>
  <c r="F95" i="108" a="1"/>
  <c r="F95" i="108" s="1"/>
  <c r="M94" i="108" a="1"/>
  <c r="Q97" i="108" a="1"/>
  <c r="M96" i="108" a="1"/>
  <c r="M96" i="108" s="1"/>
  <c r="M95" i="108" a="1"/>
  <c r="O94" i="108" a="1"/>
  <c r="F97" i="108" a="1"/>
  <c r="F97" i="108" s="1"/>
  <c r="E96" i="108" a="1"/>
  <c r="E96" i="108" s="1"/>
  <c r="D95" i="108" a="1"/>
  <c r="D95" i="108" s="1"/>
  <c r="F94" i="108" a="1"/>
  <c r="F94" i="108" s="1"/>
  <c r="D97" i="108" a="1"/>
  <c r="D97" i="108" s="1"/>
  <c r="C10" i="110"/>
  <c r="V81" i="110" a="1"/>
  <c r="AE83" i="110" a="1"/>
  <c r="AB60" i="107"/>
  <c r="Y62" i="107"/>
  <c r="N94" i="107"/>
  <c r="D96" i="107"/>
  <c r="E97" i="107"/>
  <c r="N101" i="107"/>
  <c r="P102" i="107"/>
  <c r="P103" i="107"/>
  <c r="L10" i="109"/>
  <c r="F11" i="109"/>
  <c r="M12" i="109"/>
  <c r="H13" i="109"/>
  <c r="J24" i="109"/>
  <c r="D25" i="109"/>
  <c r="R25" i="109"/>
  <c r="M26" i="109"/>
  <c r="N27" i="109"/>
  <c r="N39" i="109"/>
  <c r="X45" i="109"/>
  <c r="N76" i="109"/>
  <c r="P75" i="109"/>
  <c r="O74" i="109"/>
  <c r="G90" i="109"/>
  <c r="N90" i="109"/>
  <c r="D89" i="109"/>
  <c r="L87" i="109"/>
  <c r="H88" i="109"/>
  <c r="F90" i="109"/>
  <c r="R27" i="108"/>
  <c r="K25" i="108"/>
  <c r="AE55" i="108"/>
  <c r="AD55" i="108"/>
  <c r="AI54" i="108"/>
  <c r="W54" i="108"/>
  <c r="Z53" i="108"/>
  <c r="AD52" i="108"/>
  <c r="AH50" i="108" a="1"/>
  <c r="AH50" i="108" s="1"/>
  <c r="AH52" i="108"/>
  <c r="AH53" i="108"/>
  <c r="AH54" i="108"/>
  <c r="AI55" i="108"/>
  <c r="AG75" i="108" a="1"/>
  <c r="AG75" i="108" s="1"/>
  <c r="W74" i="108" a="1"/>
  <c r="W74" i="108" s="1"/>
  <c r="AA76" i="108" a="1"/>
  <c r="AA76" i="108" s="1"/>
  <c r="V88" i="108" a="1"/>
  <c r="V88" i="108" s="1"/>
  <c r="G104" i="108" a="1"/>
  <c r="G104" i="108" s="1"/>
  <c r="C104" i="108" a="1"/>
  <c r="K102" i="108" a="1"/>
  <c r="F101" i="108" a="1"/>
  <c r="R102" i="108" a="1"/>
  <c r="R102" i="108" s="1"/>
  <c r="Q104" i="108" a="1"/>
  <c r="AG19" i="110"/>
  <c r="X38" i="110"/>
  <c r="AF39" i="110"/>
  <c r="E52" i="110"/>
  <c r="P54" i="110"/>
  <c r="R53" i="110"/>
  <c r="H52" i="110"/>
  <c r="P50" i="110" a="1"/>
  <c r="P50" i="110" s="1"/>
  <c r="M55" i="110"/>
  <c r="Z60" i="110"/>
  <c r="U61" i="110"/>
  <c r="AF59" i="110"/>
  <c r="AH57" i="110" a="1"/>
  <c r="AJ83" i="110" a="1"/>
  <c r="AJ83" i="110" s="1"/>
  <c r="Z83" i="110" a="1"/>
  <c r="Z83" i="110" s="1"/>
  <c r="AD82" i="110" a="1"/>
  <c r="AD82" i="110" s="1"/>
  <c r="U82" i="110" a="1"/>
  <c r="AA81" i="110" a="1"/>
  <c r="AE80" i="110" a="1"/>
  <c r="AE80" i="110" s="1"/>
  <c r="V80" i="110" a="1"/>
  <c r="AH83" i="110" a="1"/>
  <c r="V83" i="110" a="1"/>
  <c r="AC82" i="110" a="1"/>
  <c r="AH81" i="110" a="1"/>
  <c r="W81" i="110" a="1"/>
  <c r="AD80" i="110" a="1"/>
  <c r="AD80" i="110" s="1"/>
  <c r="U80" i="110" a="1"/>
  <c r="U80" i="110" s="1"/>
  <c r="AA83" i="110" a="1"/>
  <c r="AH82" i="110" a="1"/>
  <c r="X82" i="110" a="1"/>
  <c r="X82" i="110" s="1"/>
  <c r="AC81" i="110" a="1"/>
  <c r="AC81" i="110" s="1"/>
  <c r="AI80" i="110" a="1"/>
  <c r="Y80" i="110" a="1"/>
  <c r="Y82" i="110" a="1"/>
  <c r="AB89" i="108" a="1"/>
  <c r="AB89" i="108" s="1"/>
  <c r="V90" i="108" a="1"/>
  <c r="V90" i="108" s="1"/>
  <c r="Z87" i="108" a="1"/>
  <c r="Z87" i="108" s="1"/>
  <c r="X89" i="108" a="1"/>
  <c r="X89" i="108" s="1"/>
  <c r="AD41" i="110"/>
  <c r="AF41" i="110"/>
  <c r="AD40" i="110"/>
  <c r="V39" i="110"/>
  <c r="V38" i="110"/>
  <c r="AI38" i="110"/>
  <c r="AI40" i="110"/>
  <c r="F48" i="110"/>
  <c r="L48" i="110"/>
  <c r="L47" i="110"/>
  <c r="H48" i="110"/>
  <c r="H47" i="110"/>
  <c r="N46" i="110"/>
  <c r="R45" i="110"/>
  <c r="K45" i="110"/>
  <c r="H46" i="110"/>
  <c r="R55" i="110"/>
  <c r="AA80" i="110" a="1"/>
  <c r="AI82" i="110" a="1"/>
  <c r="M73" i="108"/>
  <c r="Q75" i="108"/>
  <c r="AB10" i="110"/>
  <c r="AI11" i="110"/>
  <c r="AI12" i="110"/>
  <c r="H18" i="110"/>
  <c r="J31" i="110"/>
  <c r="P32" i="110"/>
  <c r="K34" i="110"/>
  <c r="AJ55" i="110"/>
  <c r="R61" i="110"/>
  <c r="Z69" i="110"/>
  <c r="Y75" i="110" a="1"/>
  <c r="Y75" i="110" s="1"/>
  <c r="X88" i="110" a="1"/>
  <c r="X88" i="110" s="1"/>
  <c r="AB52" i="110"/>
  <c r="Z53" i="110"/>
  <c r="Z54" i="110"/>
  <c r="J59" i="110"/>
  <c r="J89" i="110" a="1"/>
  <c r="AH39" i="102"/>
  <c r="G47" i="102"/>
  <c r="AG62" i="102"/>
  <c r="G74" i="102"/>
  <c r="R74" i="102"/>
  <c r="D95" i="102"/>
  <c r="L95" i="102"/>
  <c r="K96" i="102"/>
  <c r="J97" i="102"/>
  <c r="R97" i="102"/>
  <c r="J103" i="102"/>
  <c r="R103" i="102"/>
  <c r="D104" i="102"/>
  <c r="O104" i="102"/>
  <c r="AD25" i="105"/>
  <c r="Z26" i="105"/>
  <c r="Y27" i="105"/>
  <c r="AH27" i="105"/>
  <c r="AH61" i="105"/>
  <c r="AB74" i="105"/>
  <c r="D81" i="105"/>
  <c r="L81" i="105"/>
  <c r="K82" i="105"/>
  <c r="J83" i="105"/>
  <c r="R83" i="105"/>
  <c r="J18" i="102"/>
  <c r="AB19" i="102"/>
  <c r="AF20" i="102"/>
  <c r="Y38" i="102"/>
  <c r="D67" i="102"/>
  <c r="L67" i="102"/>
  <c r="J75" i="102"/>
  <c r="R75" i="102"/>
  <c r="F81" i="102"/>
  <c r="O81" i="102"/>
  <c r="F95" i="102"/>
  <c r="O95" i="102"/>
  <c r="K97" i="102"/>
  <c r="F19" i="105"/>
  <c r="P19" i="105"/>
  <c r="X24" i="105"/>
  <c r="AG24" i="105"/>
  <c r="AB27" i="105"/>
  <c r="AH40" i="105"/>
  <c r="G45" i="105"/>
  <c r="P45" i="105"/>
  <c r="K46" i="105"/>
  <c r="D47" i="105"/>
  <c r="L47" i="105"/>
  <c r="G48" i="105"/>
  <c r="P48" i="105"/>
  <c r="V52" i="105"/>
  <c r="AF52" i="105"/>
  <c r="AD53" i="105"/>
  <c r="Z54" i="105"/>
  <c r="AG60" i="105"/>
  <c r="AB62" i="105"/>
  <c r="P64" i="105"/>
  <c r="J66" i="105"/>
  <c r="D67" i="105"/>
  <c r="L67" i="105"/>
  <c r="F68" i="105"/>
  <c r="P68" i="105"/>
  <c r="J69" i="105"/>
  <c r="R69" i="105"/>
  <c r="AC75" i="105"/>
  <c r="D82" i="105"/>
  <c r="L82" i="105"/>
  <c r="K83" i="105"/>
  <c r="Z87" i="105"/>
  <c r="AF88" i="105"/>
  <c r="AH89" i="105"/>
  <c r="F44" i="81"/>
  <c r="D44" i="81"/>
  <c r="L44" i="81"/>
  <c r="M44" i="81" s="1"/>
  <c r="F55" i="81"/>
  <c r="D55" i="81"/>
  <c r="C55" i="81"/>
  <c r="I19" i="102"/>
  <c r="P33" i="102"/>
  <c r="F75" i="102"/>
  <c r="P75" i="102"/>
  <c r="G80" i="102"/>
  <c r="P80" i="102"/>
  <c r="J82" i="102"/>
  <c r="R82" i="102"/>
  <c r="J101" i="102"/>
  <c r="V24" i="105"/>
  <c r="AF24" i="105"/>
  <c r="AF60" i="105"/>
  <c r="Y62" i="105"/>
  <c r="F80" i="105"/>
  <c r="O80" i="105"/>
  <c r="J10" i="102"/>
  <c r="Y40" i="102"/>
  <c r="Y59" i="102"/>
  <c r="J69" i="102"/>
  <c r="R69" i="102"/>
  <c r="K74" i="102"/>
  <c r="J76" i="102"/>
  <c r="R76" i="102"/>
  <c r="P78" i="102"/>
  <c r="J80" i="102"/>
  <c r="G83" i="102"/>
  <c r="P83" i="102"/>
  <c r="D96" i="102"/>
  <c r="L96" i="102"/>
  <c r="L101" i="102"/>
  <c r="AB101" i="102"/>
  <c r="G102" i="102"/>
  <c r="R102" i="102"/>
  <c r="AJ102" i="102"/>
  <c r="K103" i="102"/>
  <c r="U103" i="102"/>
  <c r="G104" i="102"/>
  <c r="P104" i="102"/>
  <c r="AH104" i="102"/>
  <c r="F18" i="105"/>
  <c r="O18" i="105"/>
  <c r="AH22" i="105"/>
  <c r="K32" i="105"/>
  <c r="G34" i="105"/>
  <c r="P34" i="105"/>
  <c r="AG38" i="105"/>
  <c r="Y55" i="105"/>
  <c r="AH55" i="105"/>
  <c r="AD74" i="105"/>
  <c r="F81" i="105"/>
  <c r="O81" i="105"/>
  <c r="M10" i="102"/>
  <c r="F11" i="102"/>
  <c r="Q11" i="102"/>
  <c r="F12" i="102"/>
  <c r="R12" i="102"/>
  <c r="I13" i="102"/>
  <c r="R13" i="102"/>
  <c r="I17" i="102"/>
  <c r="AB18" i="102"/>
  <c r="AF19" i="102"/>
  <c r="E25" i="102"/>
  <c r="K27" i="102"/>
  <c r="D31" i="102"/>
  <c r="V31" i="102"/>
  <c r="D32" i="102"/>
  <c r="X32" i="102"/>
  <c r="D33" i="102"/>
  <c r="X33" i="102"/>
  <c r="F34" i="102"/>
  <c r="X34" i="102"/>
  <c r="K38" i="102"/>
  <c r="AG38" i="102"/>
  <c r="R39" i="102"/>
  <c r="AH40" i="102"/>
  <c r="Z41" i="102"/>
  <c r="F45" i="102"/>
  <c r="AF45" i="102"/>
  <c r="AD46" i="102"/>
  <c r="X47" i="102"/>
  <c r="V48" i="102"/>
  <c r="R52" i="102"/>
  <c r="G54" i="102"/>
  <c r="P55" i="102"/>
  <c r="Y60" i="102"/>
  <c r="P64" i="102"/>
  <c r="G66" i="102"/>
  <c r="P66" i="102"/>
  <c r="AC66" i="102"/>
  <c r="F67" i="102"/>
  <c r="O67" i="102"/>
  <c r="Z67" i="102"/>
  <c r="D68" i="102"/>
  <c r="L68" i="102"/>
  <c r="Y68" i="102"/>
  <c r="AH68" i="102"/>
  <c r="K69" i="102"/>
  <c r="X69" i="102"/>
  <c r="AG69" i="102"/>
  <c r="L73" i="102"/>
  <c r="Z73" i="102"/>
  <c r="D74" i="102"/>
  <c r="L74" i="102"/>
  <c r="Y74" i="102"/>
  <c r="AJ74" i="102"/>
  <c r="K75" i="102"/>
  <c r="U75" i="102"/>
  <c r="AJ75" i="102"/>
  <c r="K76" i="102"/>
  <c r="V76" i="102"/>
  <c r="L80" i="102"/>
  <c r="V80" i="102"/>
  <c r="AG80" i="102"/>
  <c r="G81" i="102"/>
  <c r="R81" i="102"/>
  <c r="AB81" i="102"/>
  <c r="D82" i="102"/>
  <c r="L82" i="102"/>
  <c r="X82" i="102"/>
  <c r="AH82" i="102"/>
  <c r="J83" i="102"/>
  <c r="R83" i="102"/>
  <c r="AC83" i="102"/>
  <c r="G87" i="102"/>
  <c r="P87" i="102"/>
  <c r="AB87" i="102"/>
  <c r="D88" i="102"/>
  <c r="L88" i="102"/>
  <c r="V88" i="102"/>
  <c r="AF88" i="102"/>
  <c r="J89" i="102"/>
  <c r="R89" i="102"/>
  <c r="AC89" i="102"/>
  <c r="D90" i="102"/>
  <c r="O90" i="102"/>
  <c r="X90" i="102"/>
  <c r="AG90" i="102"/>
  <c r="J94" i="102"/>
  <c r="V94" i="102"/>
  <c r="AF94" i="102"/>
  <c r="G95" i="102"/>
  <c r="R95" i="102"/>
  <c r="AD95" i="102"/>
  <c r="F96" i="102"/>
  <c r="P96" i="102"/>
  <c r="Z96" i="102"/>
  <c r="D97" i="102"/>
  <c r="O97" i="102"/>
  <c r="Y97" i="102"/>
  <c r="AH97" i="102"/>
  <c r="F101" i="102"/>
  <c r="O101" i="102"/>
  <c r="AF101" i="102"/>
  <c r="K102" i="102"/>
  <c r="Y102" i="102"/>
  <c r="D103" i="102"/>
  <c r="L103" i="102"/>
  <c r="AC103" i="102"/>
  <c r="J104" i="102"/>
  <c r="R104" i="102"/>
  <c r="AJ104" i="102"/>
  <c r="F10" i="105"/>
  <c r="O10" i="105"/>
  <c r="G11" i="105"/>
  <c r="R11" i="105"/>
  <c r="K12" i="105"/>
  <c r="D13" i="105"/>
  <c r="O13" i="105"/>
  <c r="P15" i="105"/>
  <c r="G17" i="105"/>
  <c r="P17" i="105"/>
  <c r="AF17" i="105"/>
  <c r="G18" i="105"/>
  <c r="R18" i="105"/>
  <c r="AD18" i="105"/>
  <c r="J19" i="105"/>
  <c r="R19" i="105"/>
  <c r="AJ19" i="105"/>
  <c r="K20" i="105"/>
  <c r="V20" i="105"/>
  <c r="F24" i="105"/>
  <c r="O24" i="105"/>
  <c r="Z24" i="105"/>
  <c r="D25" i="105"/>
  <c r="L25" i="105"/>
  <c r="Y25" i="105"/>
  <c r="AG25" i="105"/>
  <c r="K26" i="105"/>
  <c r="X26" i="105"/>
  <c r="AF26" i="105"/>
  <c r="J27" i="105"/>
  <c r="R27" i="105"/>
  <c r="AD27" i="105"/>
  <c r="P29" i="105"/>
  <c r="J31" i="105"/>
  <c r="X31" i="105"/>
  <c r="D32" i="105"/>
  <c r="L32" i="105"/>
  <c r="Z32" i="105"/>
  <c r="F33" i="105"/>
  <c r="P33" i="105"/>
  <c r="AF33" i="105"/>
  <c r="J34" i="105"/>
  <c r="R34" i="105"/>
  <c r="AH34" i="105"/>
  <c r="F38" i="105"/>
  <c r="O38" i="105"/>
  <c r="AH38" i="105"/>
  <c r="K39" i="105"/>
  <c r="U39" i="105"/>
  <c r="F40" i="105"/>
  <c r="P40" i="105"/>
  <c r="AJ40" i="105"/>
  <c r="K41" i="105"/>
  <c r="V41" i="105"/>
  <c r="P43" i="105"/>
  <c r="J45" i="105"/>
  <c r="D46" i="105"/>
  <c r="L46" i="105"/>
  <c r="F47" i="105"/>
  <c r="P47" i="105"/>
  <c r="J48" i="105"/>
  <c r="R48" i="105"/>
  <c r="AH50" i="105"/>
  <c r="L52" i="105"/>
  <c r="X52" i="105"/>
  <c r="AG52" i="105"/>
  <c r="K53" i="105"/>
  <c r="V53" i="105"/>
  <c r="AF53" i="105"/>
  <c r="J54" i="105"/>
  <c r="R54" i="105"/>
  <c r="AD54" i="105"/>
  <c r="G55" i="105"/>
  <c r="P55" i="105"/>
  <c r="AB55" i="105"/>
  <c r="G59" i="105"/>
  <c r="P59" i="105"/>
  <c r="AG59" i="105"/>
  <c r="K60" i="105"/>
  <c r="Y60" i="105"/>
  <c r="D61" i="105"/>
  <c r="L61" i="105"/>
  <c r="Z61" i="105"/>
  <c r="G62" i="105"/>
  <c r="P62" i="105"/>
  <c r="AG62" i="105"/>
  <c r="L66" i="105"/>
  <c r="F67" i="105"/>
  <c r="O67" i="105"/>
  <c r="J68" i="105"/>
  <c r="R68" i="105"/>
  <c r="K69" i="105"/>
  <c r="G73" i="105"/>
  <c r="P73" i="105"/>
  <c r="F74" i="105"/>
  <c r="O74" i="105"/>
  <c r="D75" i="105"/>
  <c r="L75" i="105"/>
  <c r="AD75" i="105"/>
  <c r="K76" i="105"/>
  <c r="AC76" i="105"/>
  <c r="J80" i="105"/>
  <c r="V80" i="105"/>
  <c r="AF80" i="105"/>
  <c r="G81" i="105"/>
  <c r="R81" i="105"/>
  <c r="AD81" i="105"/>
  <c r="F82" i="105"/>
  <c r="P82" i="105"/>
  <c r="Z82" i="105"/>
  <c r="D83" i="105"/>
  <c r="O83" i="105"/>
  <c r="Y83" i="105"/>
  <c r="F87" i="105"/>
  <c r="O87" i="105"/>
  <c r="AF87" i="105"/>
  <c r="G88" i="105"/>
  <c r="R88" i="105"/>
  <c r="AG88" i="105"/>
  <c r="K89" i="105"/>
  <c r="Y89" i="105"/>
  <c r="D90" i="105"/>
  <c r="L97" i="105"/>
  <c r="R97" i="105"/>
  <c r="J97" i="105"/>
  <c r="L96" i="105"/>
  <c r="D96" i="105"/>
  <c r="R95" i="105"/>
  <c r="G95" i="105"/>
  <c r="L94" i="105"/>
  <c r="G94" i="105"/>
  <c r="K95" i="105"/>
  <c r="K96" i="105"/>
  <c r="O97" i="105"/>
  <c r="D21" i="81"/>
  <c r="C42" i="81"/>
  <c r="C44" i="81"/>
  <c r="F47" i="81"/>
  <c r="K47" i="81"/>
  <c r="F48" i="81"/>
  <c r="D48" i="81"/>
  <c r="L48" i="81"/>
  <c r="M48" i="81" s="1"/>
  <c r="F53" i="81"/>
  <c r="G53" i="81"/>
  <c r="K55" i="81"/>
  <c r="O31" i="102"/>
  <c r="P34" i="102"/>
  <c r="N11" i="102"/>
  <c r="E12" i="102"/>
  <c r="N12" i="102"/>
  <c r="F13" i="102"/>
  <c r="Q13" i="102"/>
  <c r="U31" i="102"/>
  <c r="AF31" i="102"/>
  <c r="U32" i="102"/>
  <c r="AF32" i="102"/>
  <c r="V33" i="102"/>
  <c r="AG33" i="102"/>
  <c r="V34" i="102"/>
  <c r="AG34" i="102"/>
  <c r="AD45" i="102"/>
  <c r="X46" i="102"/>
  <c r="V47" i="102"/>
  <c r="G48" i="102"/>
  <c r="AG48" i="102"/>
  <c r="F66" i="102"/>
  <c r="O66" i="102"/>
  <c r="K68" i="102"/>
  <c r="P71" i="102"/>
  <c r="J73" i="102"/>
  <c r="K82" i="102"/>
  <c r="P92" i="102"/>
  <c r="G94" i="102"/>
  <c r="P94" i="102"/>
  <c r="F17" i="105"/>
  <c r="O17" i="105"/>
  <c r="J20" i="105"/>
  <c r="R20" i="105"/>
  <c r="V25" i="105"/>
  <c r="AF25" i="105"/>
  <c r="AD26" i="105"/>
  <c r="G31" i="105"/>
  <c r="P31" i="105"/>
  <c r="D33" i="105"/>
  <c r="L33" i="105"/>
  <c r="AF59" i="105"/>
  <c r="Y61" i="105"/>
  <c r="P78" i="105"/>
  <c r="G80" i="105"/>
  <c r="P80" i="105"/>
  <c r="AH90" i="105"/>
  <c r="E10" i="102"/>
  <c r="N10" i="102"/>
  <c r="I11" i="102"/>
  <c r="R11" i="102"/>
  <c r="J12" i="102"/>
  <c r="J13" i="102"/>
  <c r="X17" i="102"/>
  <c r="AE18" i="102"/>
  <c r="F31" i="102"/>
  <c r="AB31" i="102"/>
  <c r="F32" i="102"/>
  <c r="AC32" i="102"/>
  <c r="G33" i="102"/>
  <c r="AC33" i="102"/>
  <c r="G34" i="102"/>
  <c r="Y39" i="102"/>
  <c r="AH41" i="102"/>
  <c r="U45" i="102"/>
  <c r="AF46" i="102"/>
  <c r="AD47" i="102"/>
  <c r="X48" i="102"/>
  <c r="J66" i="102"/>
  <c r="V66" i="102"/>
  <c r="AF66" i="102"/>
  <c r="G67" i="102"/>
  <c r="R67" i="102"/>
  <c r="AD67" i="102"/>
  <c r="F68" i="102"/>
  <c r="P68" i="102"/>
  <c r="Z68" i="102"/>
  <c r="D69" i="102"/>
  <c r="O69" i="102"/>
  <c r="Y69" i="102"/>
  <c r="AH69" i="102"/>
  <c r="F73" i="102"/>
  <c r="O73" i="102"/>
  <c r="F74" i="102"/>
  <c r="O74" i="102"/>
  <c r="D75" i="102"/>
  <c r="L75" i="102"/>
  <c r="D76" i="102"/>
  <c r="O76" i="102"/>
  <c r="F80" i="102"/>
  <c r="O80" i="102"/>
  <c r="Z80" i="102"/>
  <c r="AH80" i="102"/>
  <c r="K81" i="102"/>
  <c r="U81" i="102"/>
  <c r="AD81" i="102"/>
  <c r="F82" i="102"/>
  <c r="P82" i="102"/>
  <c r="Z82" i="102"/>
  <c r="AJ82" i="102"/>
  <c r="K83" i="102"/>
  <c r="V83" i="102"/>
  <c r="AD83" i="102"/>
  <c r="U87" i="102"/>
  <c r="AC87" i="102"/>
  <c r="Y88" i="102"/>
  <c r="AJ88" i="102"/>
  <c r="U89" i="102"/>
  <c r="AD89" i="102"/>
  <c r="Y90" i="102"/>
  <c r="AJ90" i="102"/>
  <c r="L94" i="102"/>
  <c r="X94" i="102"/>
  <c r="AG94" i="102"/>
  <c r="K95" i="102"/>
  <c r="V95" i="102"/>
  <c r="AF95" i="102"/>
  <c r="J96" i="102"/>
  <c r="R96" i="102"/>
  <c r="AD96" i="102"/>
  <c r="G97" i="102"/>
  <c r="P97" i="102"/>
  <c r="G101" i="102"/>
  <c r="P101" i="102"/>
  <c r="D102" i="102"/>
  <c r="L102" i="102"/>
  <c r="Z102" i="102"/>
  <c r="F103" i="102"/>
  <c r="P103" i="102"/>
  <c r="AF103" i="102"/>
  <c r="K104" i="102"/>
  <c r="Y104" i="102"/>
  <c r="G10" i="105"/>
  <c r="P10" i="105"/>
  <c r="K11" i="105"/>
  <c r="D12" i="105"/>
  <c r="L12" i="105"/>
  <c r="G13" i="105"/>
  <c r="P13" i="105"/>
  <c r="J17" i="105"/>
  <c r="V17" i="105"/>
  <c r="AH17" i="105"/>
  <c r="K18" i="105"/>
  <c r="U18" i="105"/>
  <c r="AJ18" i="105"/>
  <c r="K19" i="105"/>
  <c r="U19" i="105"/>
  <c r="D20" i="105"/>
  <c r="O20" i="105"/>
  <c r="AC24" i="105"/>
  <c r="Z25" i="105"/>
  <c r="Y26" i="105"/>
  <c r="AH26" i="105"/>
  <c r="X27" i="105"/>
  <c r="L31" i="105"/>
  <c r="Z31" i="105"/>
  <c r="F32" i="105"/>
  <c r="O32" i="105"/>
  <c r="AF32" i="105"/>
  <c r="J33" i="105"/>
  <c r="R33" i="105"/>
  <c r="AH33" i="105"/>
  <c r="K34" i="105"/>
  <c r="Y34" i="105"/>
  <c r="G38" i="105"/>
  <c r="P38" i="105"/>
  <c r="D39" i="105"/>
  <c r="L39" i="105"/>
  <c r="AG39" i="105"/>
  <c r="J40" i="105"/>
  <c r="R40" i="105"/>
  <c r="D41" i="105"/>
  <c r="O41" i="105"/>
  <c r="AH41" i="105"/>
  <c r="AD48" i="105"/>
  <c r="L45" i="105"/>
  <c r="F46" i="105"/>
  <c r="O46" i="105"/>
  <c r="J47" i="105"/>
  <c r="R47" i="105"/>
  <c r="K48" i="105"/>
  <c r="F52" i="105"/>
  <c r="O52" i="105"/>
  <c r="Z52" i="105"/>
  <c r="D53" i="105"/>
  <c r="L53" i="105"/>
  <c r="Y53" i="105"/>
  <c r="AG53" i="105"/>
  <c r="K54" i="105"/>
  <c r="X54" i="105"/>
  <c r="AF54" i="105"/>
  <c r="J55" i="105"/>
  <c r="R55" i="105"/>
  <c r="X59" i="105"/>
  <c r="Z60" i="105"/>
  <c r="AF61" i="105"/>
  <c r="AH62" i="105"/>
  <c r="F66" i="105"/>
  <c r="O66" i="105"/>
  <c r="G67" i="105"/>
  <c r="R67" i="105"/>
  <c r="K68" i="105"/>
  <c r="D69" i="105"/>
  <c r="O69" i="105"/>
  <c r="AB73" i="105"/>
  <c r="AD76" i="105"/>
  <c r="L80" i="105"/>
  <c r="K81" i="105"/>
  <c r="J82" i="105"/>
  <c r="R82" i="105"/>
  <c r="G83" i="105"/>
  <c r="P83" i="105"/>
  <c r="L90" i="105"/>
  <c r="P90" i="105"/>
  <c r="G90" i="105"/>
  <c r="G87" i="105"/>
  <c r="P87" i="105"/>
  <c r="AG87" i="105"/>
  <c r="K88" i="105"/>
  <c r="Y88" i="105"/>
  <c r="D89" i="105"/>
  <c r="L89" i="105"/>
  <c r="Z89" i="105"/>
  <c r="J90" i="105"/>
  <c r="Y90" i="105"/>
  <c r="D41" i="81"/>
  <c r="I41" i="81"/>
  <c r="G42" i="81"/>
  <c r="G44" i="81"/>
  <c r="C47" i="81"/>
  <c r="C48" i="81"/>
  <c r="L55" i="81"/>
  <c r="P32" i="102"/>
  <c r="G73" i="102"/>
  <c r="P73" i="102"/>
  <c r="G76" i="102"/>
  <c r="P76" i="102"/>
  <c r="D81" i="102"/>
  <c r="L81" i="102"/>
  <c r="D83" i="102"/>
  <c r="O83" i="102"/>
  <c r="F94" i="102"/>
  <c r="O94" i="102"/>
  <c r="F102" i="102"/>
  <c r="O102" i="102"/>
  <c r="G66" i="105"/>
  <c r="P66" i="105"/>
  <c r="K67" i="105"/>
  <c r="D68" i="105"/>
  <c r="L68" i="105"/>
  <c r="G69" i="105"/>
  <c r="P69" i="105"/>
  <c r="AC73" i="105"/>
  <c r="H48" i="81"/>
  <c r="C60" i="81"/>
  <c r="K61" i="81"/>
  <c r="I73" i="81"/>
  <c r="C76" i="81"/>
  <c r="D81" i="81"/>
  <c r="D93" i="81"/>
  <c r="E124" i="81"/>
  <c r="AB17" i="107"/>
  <c r="AJ17" i="107"/>
  <c r="AC18" i="107"/>
  <c r="X19" i="107"/>
  <c r="AG19" i="107"/>
  <c r="Y20" i="107"/>
  <c r="AJ20" i="107"/>
  <c r="AH50" i="107"/>
  <c r="U53" i="107"/>
  <c r="X54" i="107"/>
  <c r="AC55" i="107"/>
  <c r="Y59" i="107"/>
  <c r="AF59" i="107"/>
  <c r="V60" i="107"/>
  <c r="AD60" i="107"/>
  <c r="U61" i="107"/>
  <c r="AB61" i="107"/>
  <c r="AJ61" i="107"/>
  <c r="Z62" i="107"/>
  <c r="AG62" i="107"/>
  <c r="U66" i="107"/>
  <c r="AC66" i="107"/>
  <c r="V67" i="107"/>
  <c r="AG67" i="107"/>
  <c r="Z68" i="107"/>
  <c r="AH68" i="107"/>
  <c r="AC69" i="107"/>
  <c r="AD73" i="107"/>
  <c r="AC74" i="107"/>
  <c r="AB75" i="107"/>
  <c r="Y76" i="107"/>
  <c r="AA26" i="109"/>
  <c r="M31" i="109"/>
  <c r="AD31" i="109"/>
  <c r="K32" i="109"/>
  <c r="AB32" i="109"/>
  <c r="J33" i="109"/>
  <c r="AE33" i="109"/>
  <c r="P34" i="109"/>
  <c r="I38" i="109"/>
  <c r="D39" i="109"/>
  <c r="H40" i="109"/>
  <c r="C41" i="109"/>
  <c r="P41" i="109"/>
  <c r="M52" i="109"/>
  <c r="P53" i="109"/>
  <c r="Q54" i="109"/>
  <c r="Q62" i="109"/>
  <c r="R62" i="109"/>
  <c r="K62" i="109"/>
  <c r="C62" i="109"/>
  <c r="M61" i="109"/>
  <c r="F61" i="109"/>
  <c r="N60" i="109"/>
  <c r="G60" i="109"/>
  <c r="F59" i="109"/>
  <c r="M59" i="109"/>
  <c r="C60" i="109"/>
  <c r="L60" i="109"/>
  <c r="H61" i="109"/>
  <c r="Q61" i="109"/>
  <c r="H62" i="109"/>
  <c r="N69" i="109"/>
  <c r="D69" i="109"/>
  <c r="M68" i="109"/>
  <c r="R67" i="109"/>
  <c r="H67" i="109"/>
  <c r="P66" i="109"/>
  <c r="E66" i="109"/>
  <c r="J66" i="109"/>
  <c r="G67" i="109"/>
  <c r="E68" i="109"/>
  <c r="P68" i="109"/>
  <c r="L69" i="109"/>
  <c r="AE18" i="108"/>
  <c r="AH22" i="108" a="1"/>
  <c r="AH22" i="108" s="1"/>
  <c r="AF24" i="108"/>
  <c r="AE25" i="108"/>
  <c r="U27" i="108"/>
  <c r="AH33" i="108"/>
  <c r="W32" i="108"/>
  <c r="AH29" i="108" a="1"/>
  <c r="AH29" i="108" s="1"/>
  <c r="AD33" i="108"/>
  <c r="Y31" i="108"/>
  <c r="AI32" i="108"/>
  <c r="E39" i="108"/>
  <c r="J40" i="108"/>
  <c r="P43" i="108" a="1"/>
  <c r="M45" i="108"/>
  <c r="E46" i="108"/>
  <c r="L51" i="81"/>
  <c r="K56" i="81"/>
  <c r="G59" i="81"/>
  <c r="H59" i="81" s="1"/>
  <c r="D60" i="81"/>
  <c r="C61" i="81"/>
  <c r="K64" i="81"/>
  <c r="C72" i="81"/>
  <c r="D76" i="81"/>
  <c r="D78" i="81"/>
  <c r="C80" i="81"/>
  <c r="F81" i="81"/>
  <c r="D89" i="81"/>
  <c r="F93" i="81"/>
  <c r="E119" i="81"/>
  <c r="AH15" i="107"/>
  <c r="AC17" i="107"/>
  <c r="V18" i="107"/>
  <c r="AG18" i="107"/>
  <c r="Y19" i="107"/>
  <c r="AH19" i="107"/>
  <c r="AC20" i="107"/>
  <c r="AD24" i="107"/>
  <c r="AH25" i="107"/>
  <c r="AJ26" i="107"/>
  <c r="V31" i="107"/>
  <c r="AD31" i="107"/>
  <c r="U32" i="107"/>
  <c r="AB32" i="107"/>
  <c r="AJ32" i="107"/>
  <c r="Z33" i="107"/>
  <c r="AG33" i="107"/>
  <c r="Y34" i="107"/>
  <c r="AF34" i="107"/>
  <c r="AH38" i="107"/>
  <c r="V40" i="107"/>
  <c r="X52" i="107"/>
  <c r="Y53" i="107"/>
  <c r="AD54" i="107"/>
  <c r="AF55" i="107"/>
  <c r="AH57" i="107"/>
  <c r="Z59" i="107"/>
  <c r="AG59" i="107"/>
  <c r="Y60" i="107"/>
  <c r="AF60" i="107"/>
  <c r="V61" i="107"/>
  <c r="AD61" i="107"/>
  <c r="U62" i="107"/>
  <c r="AB62" i="107"/>
  <c r="AJ62" i="107"/>
  <c r="V66" i="107"/>
  <c r="AF66" i="107"/>
  <c r="Z67" i="107"/>
  <c r="AH67" i="107"/>
  <c r="AB68" i="107"/>
  <c r="V69" i="107"/>
  <c r="AF69" i="107"/>
  <c r="AH71" i="107"/>
  <c r="AH73" i="107"/>
  <c r="AG74" i="107"/>
  <c r="AD75" i="107"/>
  <c r="AC76" i="107"/>
  <c r="H87" i="107"/>
  <c r="E88" i="107"/>
  <c r="R88" i="107"/>
  <c r="P89" i="107"/>
  <c r="P90" i="107"/>
  <c r="H94" i="107"/>
  <c r="Q94" i="107"/>
  <c r="H95" i="107"/>
  <c r="Q95" i="107"/>
  <c r="I96" i="107"/>
  <c r="Q96" i="107"/>
  <c r="J97" i="107"/>
  <c r="L101" i="107"/>
  <c r="H102" i="107"/>
  <c r="E103" i="107"/>
  <c r="E104" i="107"/>
  <c r="I10" i="109"/>
  <c r="R10" i="109"/>
  <c r="H11" i="109"/>
  <c r="R11" i="109"/>
  <c r="F12" i="109"/>
  <c r="N12" i="109"/>
  <c r="G13" i="109"/>
  <c r="AH17" i="109"/>
  <c r="AA19" i="109"/>
  <c r="E24" i="109"/>
  <c r="L24" i="109"/>
  <c r="R24" i="109"/>
  <c r="F25" i="109"/>
  <c r="L25" i="109"/>
  <c r="X25" i="109"/>
  <c r="H26" i="109"/>
  <c r="P26" i="109"/>
  <c r="C27" i="109"/>
  <c r="J27" i="109"/>
  <c r="P27" i="109"/>
  <c r="AF29" i="109"/>
  <c r="N31" i="109"/>
  <c r="AE31" i="109"/>
  <c r="P32" i="109"/>
  <c r="AF32" i="109"/>
  <c r="L33" i="109"/>
  <c r="F34" i="109"/>
  <c r="U34" i="109"/>
  <c r="M38" i="109"/>
  <c r="F39" i="109"/>
  <c r="I40" i="109"/>
  <c r="D41" i="109"/>
  <c r="L45" i="109"/>
  <c r="D46" i="109"/>
  <c r="X46" i="109"/>
  <c r="L47" i="109"/>
  <c r="R52" i="109"/>
  <c r="R53" i="109"/>
  <c r="G55" i="109"/>
  <c r="P57" i="109"/>
  <c r="H59" i="109"/>
  <c r="N59" i="109"/>
  <c r="F60" i="109"/>
  <c r="P60" i="109"/>
  <c r="I61" i="109"/>
  <c r="R61" i="109"/>
  <c r="L62" i="109"/>
  <c r="M66" i="109"/>
  <c r="J67" i="109"/>
  <c r="H68" i="109"/>
  <c r="C69" i="109"/>
  <c r="R69" i="109"/>
  <c r="L73" i="109"/>
  <c r="P74" i="109"/>
  <c r="F80" i="109"/>
  <c r="L81" i="109"/>
  <c r="F87" i="109"/>
  <c r="R87" i="109"/>
  <c r="L88" i="109"/>
  <c r="L89" i="109"/>
  <c r="H97" i="109"/>
  <c r="J96" i="109"/>
  <c r="K95" i="109"/>
  <c r="E94" i="109"/>
  <c r="P97" i="109"/>
  <c r="Q96" i="109"/>
  <c r="N95" i="109"/>
  <c r="R94" i="109"/>
  <c r="M94" i="109"/>
  <c r="D96" i="109"/>
  <c r="J97" i="109"/>
  <c r="AI13" i="108"/>
  <c r="AJ12" i="108"/>
  <c r="AG11" i="108"/>
  <c r="U10" i="108"/>
  <c r="AF13" i="108"/>
  <c r="AI11" i="108"/>
  <c r="AH8" i="108"/>
  <c r="AE12" i="108"/>
  <c r="X27" i="108"/>
  <c r="W31" i="108"/>
  <c r="AC34" i="108"/>
  <c r="E38" i="108"/>
  <c r="G39" i="108"/>
  <c r="R40" i="108"/>
  <c r="P46" i="108"/>
  <c r="E47" i="108"/>
  <c r="AI62" i="108"/>
  <c r="AE61" i="108"/>
  <c r="AA59" i="108"/>
  <c r="U62" i="108"/>
  <c r="AJ76" i="108" a="1"/>
  <c r="AJ76" i="108" s="1"/>
  <c r="W76" i="108" a="1"/>
  <c r="W76" i="108" s="1"/>
  <c r="AI75" i="108" a="1"/>
  <c r="AI75" i="108" s="1"/>
  <c r="AF75" i="108" a="1"/>
  <c r="AF75" i="108" s="1"/>
  <c r="AC75" i="108" a="1"/>
  <c r="AC75" i="108" s="1"/>
  <c r="W75" i="108" a="1"/>
  <c r="W75" i="108" s="1"/>
  <c r="AH74" i="108" a="1"/>
  <c r="AH74" i="108" s="1"/>
  <c r="AE74" i="108" a="1"/>
  <c r="AE74" i="108" s="1"/>
  <c r="AA74" i="108" a="1"/>
  <c r="AA74" i="108" s="1"/>
  <c r="X74" i="108" a="1"/>
  <c r="X74" i="108" s="1"/>
  <c r="AH73" i="108" a="1"/>
  <c r="AH73" i="108" s="1"/>
  <c r="X73" i="108" a="1"/>
  <c r="X73" i="108" s="1"/>
  <c r="AH71" i="108" a="1"/>
  <c r="AH71" i="108" s="1"/>
  <c r="AE76" i="108" a="1"/>
  <c r="AE76" i="108" s="1"/>
  <c r="Y76" i="108" a="1"/>
  <c r="Y76" i="108" s="1"/>
  <c r="AH75" i="108" a="1"/>
  <c r="AH75" i="108" s="1"/>
  <c r="AE75" i="108" a="1"/>
  <c r="AE75" i="108" s="1"/>
  <c r="Z75" i="108" a="1"/>
  <c r="Z75" i="108" s="1"/>
  <c r="V75" i="108" a="1"/>
  <c r="V75" i="108" s="1"/>
  <c r="AF74" i="108" a="1"/>
  <c r="AF74" i="108" s="1"/>
  <c r="Z74" i="108" a="1"/>
  <c r="Z74" i="108" s="1"/>
  <c r="V74" i="108" a="1"/>
  <c r="V74" i="108" s="1"/>
  <c r="AB73" i="108" a="1"/>
  <c r="AB73" i="108" s="1"/>
  <c r="AC76" i="108" a="1"/>
  <c r="AC76" i="108" s="1"/>
  <c r="U76" i="108" a="1"/>
  <c r="U76" i="108" s="1"/>
  <c r="AD75" i="108" a="1"/>
  <c r="AD75" i="108" s="1"/>
  <c r="Y75" i="108" a="1"/>
  <c r="Y75" i="108" s="1"/>
  <c r="U75" i="108" a="1"/>
  <c r="U75" i="108" s="1"/>
  <c r="AI74" i="108" a="1"/>
  <c r="AI74" i="108" s="1"/>
  <c r="AD74" i="108" a="1"/>
  <c r="AD74" i="108" s="1"/>
  <c r="U74" i="108" a="1"/>
  <c r="U74" i="108" s="1"/>
  <c r="Z73" i="108" a="1"/>
  <c r="Z73" i="108" s="1"/>
  <c r="V73" i="108" a="1"/>
  <c r="V73" i="108" s="1"/>
  <c r="AJ73" i="108" a="1"/>
  <c r="AJ73" i="108" s="1"/>
  <c r="AB74" i="108" a="1"/>
  <c r="AB74" i="108" s="1"/>
  <c r="AJ74" i="108" a="1"/>
  <c r="AJ74" i="108" s="1"/>
  <c r="AA75" i="108" a="1"/>
  <c r="AA75" i="108" s="1"/>
  <c r="AJ75" i="108" a="1"/>
  <c r="AJ75" i="108" s="1"/>
  <c r="AG76" i="108" a="1"/>
  <c r="AG76" i="108" s="1"/>
  <c r="AD87" i="108" a="1"/>
  <c r="AD87" i="108" s="1"/>
  <c r="AD88" i="108" a="1"/>
  <c r="AD88" i="108" s="1"/>
  <c r="AG94" i="105"/>
  <c r="AH96" i="105"/>
  <c r="G101" i="105"/>
  <c r="P101" i="105"/>
  <c r="K102" i="105"/>
  <c r="D103" i="105"/>
  <c r="L103" i="105"/>
  <c r="G104" i="105"/>
  <c r="P104" i="105"/>
  <c r="K40" i="81"/>
  <c r="M40" i="81" s="1"/>
  <c r="C51" i="81"/>
  <c r="K52" i="81"/>
  <c r="M52" i="81" s="1"/>
  <c r="C56" i="81"/>
  <c r="E56" i="81" s="1"/>
  <c r="K57" i="81"/>
  <c r="L59" i="81"/>
  <c r="I60" i="81"/>
  <c r="D61" i="81"/>
  <c r="C64" i="81"/>
  <c r="E64" i="81" s="1"/>
  <c r="C68" i="81"/>
  <c r="F72" i="81"/>
  <c r="J78" i="81"/>
  <c r="K78" i="81" s="1"/>
  <c r="F80" i="81"/>
  <c r="J87" i="81"/>
  <c r="F89" i="81"/>
  <c r="F92" i="81"/>
  <c r="E111" i="81"/>
  <c r="V17" i="107"/>
  <c r="AD17" i="107"/>
  <c r="Y18" i="107"/>
  <c r="AH18" i="107"/>
  <c r="AB19" i="107"/>
  <c r="V20" i="107"/>
  <c r="AJ24" i="107"/>
  <c r="U26" i="107"/>
  <c r="Y31" i="107"/>
  <c r="AF31" i="107"/>
  <c r="V32" i="107"/>
  <c r="AD32" i="107"/>
  <c r="U33" i="107"/>
  <c r="AB33" i="107"/>
  <c r="AJ33" i="107"/>
  <c r="Z34" i="107"/>
  <c r="AG34" i="107"/>
  <c r="Z52" i="107"/>
  <c r="AF53" i="107"/>
  <c r="AH54" i="107"/>
  <c r="AJ55" i="107"/>
  <c r="U59" i="107"/>
  <c r="AB59" i="107"/>
  <c r="AJ59" i="107"/>
  <c r="Z60" i="107"/>
  <c r="AG60" i="107"/>
  <c r="Y61" i="107"/>
  <c r="AF61" i="107"/>
  <c r="V62" i="107"/>
  <c r="AD62" i="107"/>
  <c r="X66" i="107"/>
  <c r="AH66" i="107"/>
  <c r="AB67" i="107"/>
  <c r="U68" i="107"/>
  <c r="AF68" i="107"/>
  <c r="X69" i="107"/>
  <c r="AG69" i="107"/>
  <c r="X73" i="107"/>
  <c r="V74" i="107"/>
  <c r="AJ74" i="107"/>
  <c r="AH75" i="107"/>
  <c r="AG76" i="107"/>
  <c r="L87" i="107"/>
  <c r="H88" i="107"/>
  <c r="E89" i="107"/>
  <c r="E90" i="107"/>
  <c r="I94" i="107"/>
  <c r="R94" i="107"/>
  <c r="J95" i="107"/>
  <c r="R95" i="107"/>
  <c r="J96" i="107"/>
  <c r="D97" i="107"/>
  <c r="AB10" i="109"/>
  <c r="V11" i="109"/>
  <c r="F24" i="109"/>
  <c r="M24" i="109"/>
  <c r="Z24" i="109"/>
  <c r="G25" i="109"/>
  <c r="O25" i="109"/>
  <c r="AD25" i="109"/>
  <c r="J26" i="109"/>
  <c r="Q26" i="109"/>
  <c r="D27" i="109"/>
  <c r="K27" i="109"/>
  <c r="AH27" i="109"/>
  <c r="D31" i="109"/>
  <c r="V31" i="109"/>
  <c r="F32" i="109"/>
  <c r="R32" i="109"/>
  <c r="AH32" i="109"/>
  <c r="P33" i="109"/>
  <c r="K34" i="109"/>
  <c r="AB34" i="109"/>
  <c r="D38" i="109"/>
  <c r="N38" i="109"/>
  <c r="K39" i="109"/>
  <c r="N40" i="109"/>
  <c r="AB46" i="109"/>
  <c r="E52" i="109"/>
  <c r="D53" i="109"/>
  <c r="J54" i="109"/>
  <c r="I59" i="109"/>
  <c r="Q59" i="109"/>
  <c r="H60" i="109"/>
  <c r="R60" i="109"/>
  <c r="L61" i="109"/>
  <c r="F62" i="109"/>
  <c r="N62" i="109"/>
  <c r="D66" i="109"/>
  <c r="R66" i="109"/>
  <c r="N67" i="109"/>
  <c r="I68" i="109"/>
  <c r="G69" i="109"/>
  <c r="K76" i="109"/>
  <c r="I75" i="109"/>
  <c r="C74" i="109"/>
  <c r="D73" i="109"/>
  <c r="Q73" i="109"/>
  <c r="N75" i="109"/>
  <c r="J83" i="109"/>
  <c r="J82" i="109"/>
  <c r="D81" i="109"/>
  <c r="O83" i="109"/>
  <c r="M80" i="109"/>
  <c r="R81" i="109"/>
  <c r="Q90" i="109"/>
  <c r="R90" i="109"/>
  <c r="K90" i="109"/>
  <c r="C90" i="109"/>
  <c r="M89" i="109"/>
  <c r="F89" i="109"/>
  <c r="N88" i="109"/>
  <c r="G88" i="109"/>
  <c r="Q87" i="109"/>
  <c r="I87" i="109"/>
  <c r="L90" i="109"/>
  <c r="R89" i="109"/>
  <c r="I89" i="109"/>
  <c r="P88" i="109"/>
  <c r="F88" i="109"/>
  <c r="M87" i="109"/>
  <c r="D87" i="109"/>
  <c r="H87" i="109"/>
  <c r="C88" i="109"/>
  <c r="R88" i="109"/>
  <c r="N89" i="109"/>
  <c r="H90" i="109"/>
  <c r="AE20" i="108"/>
  <c r="AJ17" i="108"/>
  <c r="AH20" i="108"/>
  <c r="AH15" i="108" a="1"/>
  <c r="AH15" i="108" s="1"/>
  <c r="Y24" i="108"/>
  <c r="U25" i="108"/>
  <c r="Y26" i="108"/>
  <c r="G38" i="108"/>
  <c r="N39" i="108"/>
  <c r="AI90" i="108" a="1"/>
  <c r="AI90" i="108" s="1"/>
  <c r="AF90" i="108" a="1"/>
  <c r="AF90" i="108" s="1"/>
  <c r="Z90" i="108" a="1"/>
  <c r="Z90" i="108" s="1"/>
  <c r="AJ89" i="108" a="1"/>
  <c r="AJ89" i="108" s="1"/>
  <c r="AD89" i="108" a="1"/>
  <c r="AD89" i="108" s="1"/>
  <c r="AH88" i="108" a="1"/>
  <c r="AH88" i="108" s="1"/>
  <c r="AB88" i="108" a="1"/>
  <c r="AB88" i="108" s="1"/>
  <c r="X88" i="108" a="1"/>
  <c r="X88" i="108" s="1"/>
  <c r="AH87" i="108" a="1"/>
  <c r="AH87" i="108" s="1"/>
  <c r="AB87" i="108" a="1"/>
  <c r="AB87" i="108" s="1"/>
  <c r="V87" i="108" a="1"/>
  <c r="V87" i="108" s="1"/>
  <c r="AH90" i="108" a="1"/>
  <c r="AH90" i="108" s="1"/>
  <c r="AB90" i="108" a="1"/>
  <c r="AB90" i="108" s="1"/>
  <c r="AH89" i="108" a="1"/>
  <c r="AH89" i="108" s="1"/>
  <c r="AJ88" i="108" a="1"/>
  <c r="AJ88" i="108" s="1"/>
  <c r="Z89" i="108" a="1"/>
  <c r="Z89" i="108" s="1"/>
  <c r="Z88" i="108" a="1"/>
  <c r="Z88" i="108" s="1"/>
  <c r="AJ87" i="108" a="1"/>
  <c r="AJ87" i="108" s="1"/>
  <c r="AH85" i="108" a="1"/>
  <c r="AH85" i="108" s="1"/>
  <c r="AF87" i="108" a="1"/>
  <c r="AF87" i="108" s="1"/>
  <c r="AF88" i="108" a="1"/>
  <c r="AF88" i="108" s="1"/>
  <c r="AF89" i="108" a="1"/>
  <c r="AF89" i="108" s="1"/>
  <c r="AD90" i="108" a="1"/>
  <c r="AD90" i="108" s="1"/>
  <c r="K60" i="81"/>
  <c r="AH52" i="107"/>
  <c r="AJ53" i="107"/>
  <c r="AB66" i="107"/>
  <c r="U67" i="107"/>
  <c r="AC67" i="107"/>
  <c r="X68" i="107"/>
  <c r="AG68" i="107"/>
  <c r="AH94" i="107"/>
  <c r="I31" i="109"/>
  <c r="G32" i="109"/>
  <c r="E33" i="109"/>
  <c r="AE27" i="108"/>
  <c r="AI26" i="108"/>
  <c r="AB25" i="108"/>
  <c r="AI24" i="108"/>
  <c r="AJ27" i="108"/>
  <c r="AG26" i="108"/>
  <c r="AJ25" i="108"/>
  <c r="AA24" i="108"/>
  <c r="W25" i="108"/>
  <c r="AB26" i="108"/>
  <c r="I41" i="108"/>
  <c r="I40" i="108"/>
  <c r="J39" i="108"/>
  <c r="N38" i="108"/>
  <c r="E41" i="108"/>
  <c r="R39" i="108"/>
  <c r="O38" i="108"/>
  <c r="I38" i="108"/>
  <c r="E40" i="108"/>
  <c r="K48" i="108"/>
  <c r="P45" i="108"/>
  <c r="H46" i="108"/>
  <c r="E45" i="108"/>
  <c r="H48" i="108"/>
  <c r="X34" i="110"/>
  <c r="Y32" i="110"/>
  <c r="X31" i="110"/>
  <c r="Z31" i="110"/>
  <c r="U32" i="110"/>
  <c r="M83" i="108" a="1"/>
  <c r="M83" i="108" s="1"/>
  <c r="R81" i="108" a="1"/>
  <c r="R81" i="108" s="1"/>
  <c r="R80" i="108" a="1"/>
  <c r="R80" i="108" s="1"/>
  <c r="P80" i="108" a="1"/>
  <c r="P80" i="108" s="1"/>
  <c r="Y80" i="108" a="1"/>
  <c r="Y80" i="108" s="1"/>
  <c r="AE80" i="108" a="1"/>
  <c r="AE80" i="108" s="1"/>
  <c r="G81" i="108" a="1"/>
  <c r="G81" i="108" s="1"/>
  <c r="Y81" i="108" a="1"/>
  <c r="Y81" i="108" s="1"/>
  <c r="AE81" i="108" a="1"/>
  <c r="AE81" i="108" s="1"/>
  <c r="AB82" i="108" a="1"/>
  <c r="AB82" i="108" s="1"/>
  <c r="AF82" i="108" a="1"/>
  <c r="AF82" i="108" s="1"/>
  <c r="U83" i="108" a="1"/>
  <c r="U83" i="108" s="1"/>
  <c r="M97" i="108" a="1"/>
  <c r="M97" i="108" s="1"/>
  <c r="E97" i="108" a="1"/>
  <c r="O96" i="108" a="1"/>
  <c r="F96" i="108" a="1"/>
  <c r="F96" i="108" s="1"/>
  <c r="Q95" i="108" a="1"/>
  <c r="Q95" i="108" s="1"/>
  <c r="I95" i="108" a="1"/>
  <c r="Q94" i="108" a="1"/>
  <c r="D94" i="108" a="1"/>
  <c r="D94" i="108" s="1"/>
  <c r="I94" i="108" a="1"/>
  <c r="I94" i="108" s="1"/>
  <c r="R94" i="108" a="1"/>
  <c r="R94" i="108" s="1"/>
  <c r="E95" i="108" a="1"/>
  <c r="O95" i="108" a="1"/>
  <c r="I96" i="108" a="1"/>
  <c r="R96" i="108" a="1"/>
  <c r="R96" i="108" s="1"/>
  <c r="L97" i="108" a="1"/>
  <c r="L97" i="108" s="1"/>
  <c r="I13" i="110"/>
  <c r="P10" i="110"/>
  <c r="L10" i="110"/>
  <c r="I11" i="110"/>
  <c r="I12" i="110"/>
  <c r="D24" i="110"/>
  <c r="R24" i="110"/>
  <c r="M25" i="110"/>
  <c r="H26" i="110"/>
  <c r="E27" i="110"/>
  <c r="C31" i="110"/>
  <c r="N31" i="110"/>
  <c r="C32" i="110"/>
  <c r="K32" i="110"/>
  <c r="C33" i="110"/>
  <c r="P33" i="110"/>
  <c r="AI83" i="108" a="1"/>
  <c r="AI83" i="108" s="1"/>
  <c r="AF83" i="108" a="1"/>
  <c r="AF83" i="108" s="1"/>
  <c r="AB83" i="108" a="1"/>
  <c r="AB83" i="108" s="1"/>
  <c r="W83" i="108" a="1"/>
  <c r="W83" i="108" s="1"/>
  <c r="AH82" i="108" a="1"/>
  <c r="AH82" i="108" s="1"/>
  <c r="Z82" i="108" a="1"/>
  <c r="Z82" i="108" s="1"/>
  <c r="U82" i="108" a="1"/>
  <c r="U82" i="108" s="1"/>
  <c r="AG81" i="108" a="1"/>
  <c r="AG81" i="108" s="1"/>
  <c r="X81" i="108" a="1"/>
  <c r="X81" i="108" s="1"/>
  <c r="AG80" i="108" a="1"/>
  <c r="AG80" i="108" s="1"/>
  <c r="X80" i="108" a="1"/>
  <c r="X80" i="108" s="1"/>
  <c r="AH78" i="108" a="1"/>
  <c r="AH78" i="108" s="1"/>
  <c r="Z80" i="108" a="1"/>
  <c r="Z80" i="108" s="1"/>
  <c r="AF80" i="108" a="1"/>
  <c r="AF80" i="108" s="1"/>
  <c r="Z81" i="108" a="1"/>
  <c r="Z81" i="108" s="1"/>
  <c r="AF81" i="108" a="1"/>
  <c r="AF81" i="108" s="1"/>
  <c r="W82" i="108" a="1"/>
  <c r="W82" i="108" s="1"/>
  <c r="AG82" i="108" a="1"/>
  <c r="AG82" i="108" s="1"/>
  <c r="X83" i="108" a="1"/>
  <c r="X83" i="108" s="1"/>
  <c r="AC83" i="108" a="1"/>
  <c r="AC83" i="108" s="1"/>
  <c r="AJ83" i="108" a="1"/>
  <c r="AJ83" i="108" s="1"/>
  <c r="AC97" i="108" a="1"/>
  <c r="AC97" i="108" s="1"/>
  <c r="AJ94" i="108" a="1"/>
  <c r="AJ94" i="108" s="1"/>
  <c r="V94" i="108" a="1"/>
  <c r="V94" i="108" s="1"/>
  <c r="AG20" i="110"/>
  <c r="Y19" i="110"/>
  <c r="AJ17" i="110"/>
  <c r="Y18" i="110"/>
  <c r="P27" i="110"/>
  <c r="M27" i="110"/>
  <c r="D27" i="110"/>
  <c r="J26" i="110"/>
  <c r="R25" i="110"/>
  <c r="H25" i="110"/>
  <c r="N24" i="110"/>
  <c r="E24" i="110"/>
  <c r="H24" i="110"/>
  <c r="D25" i="110"/>
  <c r="N25" i="110"/>
  <c r="M26" i="110"/>
  <c r="H27" i="110"/>
  <c r="L34" i="110"/>
  <c r="C34" i="110"/>
  <c r="K33" i="110"/>
  <c r="R34" i="110"/>
  <c r="F34" i="110"/>
  <c r="J33" i="110"/>
  <c r="N32" i="110"/>
  <c r="F32" i="110"/>
  <c r="K31" i="110"/>
  <c r="D31" i="110"/>
  <c r="F31" i="110"/>
  <c r="O31" i="110"/>
  <c r="D32" i="110"/>
  <c r="O32" i="110"/>
  <c r="D33" i="110"/>
  <c r="R33" i="110"/>
  <c r="R76" i="110"/>
  <c r="F76" i="110"/>
  <c r="P75" i="110"/>
  <c r="H74" i="110"/>
  <c r="N73" i="110"/>
  <c r="F73" i="110"/>
  <c r="P76" i="110"/>
  <c r="C76" i="110"/>
  <c r="K75" i="110"/>
  <c r="R74" i="110"/>
  <c r="C74" i="110"/>
  <c r="L73" i="110"/>
  <c r="P73" i="110"/>
  <c r="F75" i="110"/>
  <c r="H76" i="110"/>
  <c r="L101" i="109"/>
  <c r="M102" i="109"/>
  <c r="N103" i="109"/>
  <c r="R24" i="108"/>
  <c r="Q26" i="108"/>
  <c r="AE45" i="108"/>
  <c r="U46" i="108"/>
  <c r="AH46" i="108"/>
  <c r="W47" i="108"/>
  <c r="AI47" i="108"/>
  <c r="Z52" i="108"/>
  <c r="AI52" i="108"/>
  <c r="AC53" i="108"/>
  <c r="U54" i="108"/>
  <c r="AD54" i="108"/>
  <c r="W55" i="108"/>
  <c r="AH55" i="108"/>
  <c r="R74" i="108"/>
  <c r="M75" i="108"/>
  <c r="Q101" i="108" a="1"/>
  <c r="C103" i="108" a="1"/>
  <c r="AH10" i="110"/>
  <c r="AD11" i="110"/>
  <c r="V48" i="110"/>
  <c r="AF46" i="110"/>
  <c r="Y45" i="110"/>
  <c r="AG47" i="110"/>
  <c r="H54" i="110"/>
  <c r="J53" i="110"/>
  <c r="P52" i="110"/>
  <c r="E55" i="110"/>
  <c r="H62" i="110"/>
  <c r="L61" i="110"/>
  <c r="G60" i="110"/>
  <c r="K59" i="110"/>
  <c r="D62" i="110"/>
  <c r="K61" i="110"/>
  <c r="O60" i="110"/>
  <c r="F59" i="110"/>
  <c r="H61" i="110"/>
  <c r="N62" i="110"/>
  <c r="H75" i="110"/>
  <c r="L76" i="110"/>
  <c r="C80" i="110" a="1"/>
  <c r="P82" i="110" a="1"/>
  <c r="E87" i="110" a="1"/>
  <c r="E87" i="110" s="1"/>
  <c r="Q89" i="110" a="1"/>
  <c r="Q89" i="110" s="1"/>
  <c r="G73" i="110"/>
  <c r="K74" i="110"/>
  <c r="R75" i="110"/>
  <c r="K83" i="110" a="1"/>
  <c r="F82" i="110" a="1"/>
  <c r="F82" i="110" s="1"/>
  <c r="Q81" i="110" a="1"/>
  <c r="Q80" i="110" a="1"/>
  <c r="Q80" i="110" s="1"/>
  <c r="F83" i="110" a="1"/>
  <c r="F83" i="110" s="1"/>
  <c r="G81" i="110" a="1"/>
  <c r="L80" i="110" a="1"/>
  <c r="L80" i="110" s="1"/>
  <c r="H80" i="110" a="1"/>
  <c r="H80" i="110" s="1"/>
  <c r="C81" i="110" a="1"/>
  <c r="L87" i="110" a="1"/>
  <c r="H73" i="110"/>
  <c r="L74" i="110"/>
  <c r="R90" i="110" a="1"/>
  <c r="F90" i="110" a="1"/>
  <c r="R89" i="110" a="1"/>
  <c r="O88" i="110" a="1"/>
  <c r="O88" i="110" s="1"/>
  <c r="J88" i="110" a="1"/>
  <c r="G87" i="110" a="1"/>
  <c r="G87" i="110" s="1"/>
  <c r="K90" i="110" a="1"/>
  <c r="K90" i="110" s="1"/>
  <c r="P89" i="110" a="1"/>
  <c r="P89" i="110" s="1"/>
  <c r="I89" i="110" a="1"/>
  <c r="I89" i="110" s="1"/>
  <c r="D89" i="110" a="1"/>
  <c r="R88" i="110" a="1"/>
  <c r="M88" i="110" a="1"/>
  <c r="M88" i="110" s="1"/>
  <c r="G88" i="110" a="1"/>
  <c r="G88" i="110" s="1"/>
  <c r="P87" i="110" a="1"/>
  <c r="I87" i="110" a="1"/>
  <c r="I87" i="110" s="1"/>
  <c r="I90" i="110" a="1"/>
  <c r="I90" i="110" s="1"/>
  <c r="M89" i="110" a="1"/>
  <c r="M89" i="110" s="1"/>
  <c r="G89" i="110" a="1"/>
  <c r="G89" i="110" s="1"/>
  <c r="Q88" i="110" a="1"/>
  <c r="Q88" i="110" s="1"/>
  <c r="L88" i="110" a="1"/>
  <c r="L88" i="110" s="1"/>
  <c r="D88" i="110" a="1"/>
  <c r="O87" i="110" a="1"/>
  <c r="O87" i="110" s="1"/>
  <c r="H87" i="110" a="1"/>
  <c r="D87" i="110" a="1"/>
  <c r="D87" i="110" s="1"/>
  <c r="R87" i="110" a="1"/>
  <c r="E89" i="110" a="1"/>
  <c r="E89" i="110" s="1"/>
  <c r="O90" i="110" a="1"/>
  <c r="O90" i="110" s="1"/>
  <c r="AB80" i="110" a="1"/>
  <c r="AB80" i="110" s="1"/>
  <c r="AF80" i="110" a="1"/>
  <c r="Y81" i="110" a="1"/>
  <c r="AD81" i="110" a="1"/>
  <c r="AD81" i="110" s="1"/>
  <c r="AJ81" i="110" a="1"/>
  <c r="AJ81" i="110" s="1"/>
  <c r="V82" i="110" a="1"/>
  <c r="AA82" i="110" a="1"/>
  <c r="AE82" i="110" a="1"/>
  <c r="W83" i="110" a="1"/>
  <c r="W83" i="110" s="1"/>
  <c r="AI83" i="110" a="1"/>
  <c r="AJ88" i="110" a="1"/>
  <c r="W89" i="110" a="1"/>
  <c r="W89" i="110" s="1"/>
  <c r="C94" i="110" a="1"/>
  <c r="C94" i="110" s="1"/>
  <c r="H94" i="110" a="1"/>
  <c r="L94" i="110" a="1"/>
  <c r="Q94" i="110" a="1"/>
  <c r="Q94" i="110" s="1"/>
  <c r="AD94" i="110" a="1"/>
  <c r="AD94" i="110" s="1"/>
  <c r="H95" i="110" a="1"/>
  <c r="M95" i="110" a="1"/>
  <c r="M95" i="110" s="1"/>
  <c r="R95" i="110" a="1"/>
  <c r="AB95" i="110" a="1"/>
  <c r="AB95" i="110" s="1"/>
  <c r="D96" i="110" a="1"/>
  <c r="J96" i="110" a="1"/>
  <c r="O96" i="110" a="1"/>
  <c r="V96" i="110" a="1"/>
  <c r="V96" i="110" s="1"/>
  <c r="AG96" i="110" a="1"/>
  <c r="G97" i="110" a="1"/>
  <c r="L97" i="110" a="1"/>
  <c r="R97" i="110" a="1"/>
  <c r="R97" i="110" s="1"/>
  <c r="O101" i="110" a="1"/>
  <c r="AB101" i="110" a="1"/>
  <c r="J102" i="110" a="1"/>
  <c r="AA102" i="110" a="1"/>
  <c r="AA102" i="110" s="1"/>
  <c r="U103" i="110" a="1"/>
  <c r="AF103" i="110" a="1"/>
  <c r="AA104" i="110" a="1"/>
  <c r="AD38" i="110"/>
  <c r="AA39" i="110"/>
  <c r="AA40" i="110"/>
  <c r="X41" i="110"/>
  <c r="G45" i="110"/>
  <c r="K46" i="110"/>
  <c r="N47" i="110"/>
  <c r="AJ54" i="110"/>
  <c r="AE55" i="110"/>
  <c r="AE68" i="110"/>
  <c r="AE74" i="110" a="1"/>
  <c r="AH78" i="110" a="1"/>
  <c r="AH78" i="110" s="1"/>
  <c r="X80" i="110" a="1"/>
  <c r="X80" i="110" s="1"/>
  <c r="AC80" i="110" a="1"/>
  <c r="AH80" i="110" a="1"/>
  <c r="Z81" i="110" a="1"/>
  <c r="AF81" i="110" a="1"/>
  <c r="AF81" i="110" s="1"/>
  <c r="AB82" i="110" a="1"/>
  <c r="AF82" i="110" a="1"/>
  <c r="Y83" i="110" a="1"/>
  <c r="AD83" i="110" a="1"/>
  <c r="AD83" i="110" s="1"/>
  <c r="AD89" i="110" a="1"/>
  <c r="P92" i="110" a="1"/>
  <c r="P92" i="110" s="1"/>
  <c r="D94" i="110" a="1"/>
  <c r="I94" i="110" a="1"/>
  <c r="I94" i="110" s="1"/>
  <c r="M94" i="110" a="1"/>
  <c r="M94" i="110" s="1"/>
  <c r="X94" i="110" a="1"/>
  <c r="AH94" i="110" a="1"/>
  <c r="E95" i="110" a="1"/>
  <c r="E95" i="110" s="1"/>
  <c r="J95" i="110" a="1"/>
  <c r="N95" i="110" a="1"/>
  <c r="U95" i="110" a="1"/>
  <c r="AF95" i="110" a="1"/>
  <c r="F96" i="110" a="1"/>
  <c r="K96" i="110" a="1"/>
  <c r="P96" i="110" a="1"/>
  <c r="Z96" i="110" a="1"/>
  <c r="Z96" i="110" s="1"/>
  <c r="C97" i="110" a="1"/>
  <c r="H97" i="110" a="1"/>
  <c r="N97" i="110" a="1"/>
  <c r="V97" i="110" a="1"/>
  <c r="V97" i="110" s="1"/>
  <c r="U101" i="110" a="1"/>
  <c r="AF101" i="110" a="1"/>
  <c r="O102" i="110" a="1"/>
  <c r="AB102" i="110" a="1"/>
  <c r="AB102" i="110" s="1"/>
  <c r="W103" i="110" a="1"/>
  <c r="AG103" i="110" a="1"/>
  <c r="AB104" i="110" a="1"/>
  <c r="E94" i="110" a="1"/>
  <c r="E94" i="110" s="1"/>
  <c r="N94" i="110" a="1"/>
  <c r="Y94" i="110" a="1"/>
  <c r="AJ94" i="110" a="1"/>
  <c r="F95" i="110" a="1"/>
  <c r="F95" i="110" s="1"/>
  <c r="K95" i="110" a="1"/>
  <c r="K95" i="110" s="1"/>
  <c r="O95" i="110" a="1"/>
  <c r="O95" i="110" s="1"/>
  <c r="V95" i="110" a="1"/>
  <c r="AG95" i="110" a="1"/>
  <c r="AG95" i="110" s="1"/>
  <c r="G96" i="110" a="1"/>
  <c r="L96" i="110" a="1"/>
  <c r="R96" i="110" a="1"/>
  <c r="AB96" i="110" a="1"/>
  <c r="AB96" i="110" s="1"/>
  <c r="D97" i="110" a="1"/>
  <c r="J97" i="110" a="1"/>
  <c r="O97" i="110" a="1"/>
  <c r="AB97" i="110" a="1"/>
  <c r="AB97" i="110" s="1"/>
  <c r="E101" i="110" a="1"/>
  <c r="W101" i="110" a="1"/>
  <c r="AG101" i="110" a="1"/>
  <c r="U102" i="110" a="1"/>
  <c r="U102" i="110" s="1"/>
  <c r="AF102" i="110" a="1"/>
  <c r="AA103" i="110" a="1"/>
  <c r="U104" i="110" a="1"/>
  <c r="AF104" i="110" a="1"/>
  <c r="AF104" i="110" s="1"/>
  <c r="Z87" i="110" a="1"/>
  <c r="AD88" i="110" a="1"/>
  <c r="F94" i="110" a="1"/>
  <c r="K94" i="110" a="1"/>
  <c r="K94" i="110" s="1"/>
  <c r="P94" i="110" a="1"/>
  <c r="AC94" i="110" a="1"/>
  <c r="C95" i="110" a="1"/>
  <c r="C95" i="110" s="1"/>
  <c r="G95" i="110" a="1"/>
  <c r="G95" i="110" s="1"/>
  <c r="P95" i="110" a="1"/>
  <c r="Z95" i="110" a="1"/>
  <c r="C96" i="110" a="1"/>
  <c r="H96" i="110" a="1"/>
  <c r="H96" i="110" s="1"/>
  <c r="N96" i="110" a="1"/>
  <c r="U96" i="110" a="1"/>
  <c r="AF96" i="110" a="1"/>
  <c r="F97" i="110" a="1"/>
  <c r="F97" i="110" s="1"/>
  <c r="K97" i="110" a="1"/>
  <c r="AG97" i="110" a="1"/>
  <c r="J101" i="110" a="1"/>
  <c r="AA101" i="110" a="1"/>
  <c r="W102" i="110" a="1"/>
  <c r="AG102" i="110" a="1"/>
  <c r="AB103" i="110" a="1"/>
  <c r="W104" i="110" a="1"/>
  <c r="W104" i="110" s="1"/>
  <c r="T41" i="117"/>
  <c r="T42" i="117"/>
  <c r="T63" i="117"/>
  <c r="T66" i="117"/>
  <c r="T49" i="117"/>
  <c r="T50" i="117"/>
  <c r="T56" i="117"/>
  <c r="T57" i="117"/>
  <c r="D13" i="117"/>
  <c r="T39" i="117"/>
  <c r="T40" i="117"/>
  <c r="T64" i="117"/>
  <c r="T65" i="117"/>
  <c r="T47" i="117"/>
  <c r="T48" i="117"/>
  <c r="T55" i="117"/>
  <c r="T58" i="117"/>
  <c r="T37" i="115"/>
  <c r="T38" i="115"/>
  <c r="T62" i="115"/>
  <c r="T63" i="115"/>
  <c r="F11" i="115"/>
  <c r="T45" i="115"/>
  <c r="T46" i="115"/>
  <c r="T52" i="115"/>
  <c r="T53" i="115"/>
  <c r="T36" i="115"/>
  <c r="T39" i="115"/>
  <c r="T60" i="115"/>
  <c r="T61" i="115"/>
  <c r="T44" i="115"/>
  <c r="T47" i="115"/>
  <c r="T54" i="115"/>
  <c r="T55" i="115"/>
  <c r="H94" i="101"/>
  <c r="S95" i="101"/>
  <c r="E93" i="101"/>
  <c r="L94" i="101"/>
  <c r="F96" i="101"/>
  <c r="I93" i="101"/>
  <c r="C95" i="101"/>
  <c r="R96" i="101"/>
  <c r="M93" i="101"/>
  <c r="K95" i="101"/>
  <c r="D128" i="101"/>
  <c r="D94" i="101"/>
  <c r="G95" i="101"/>
  <c r="J96" i="101"/>
  <c r="D129" i="101"/>
  <c r="M15" i="101"/>
  <c r="D130" i="101"/>
  <c r="C28" i="101"/>
  <c r="E28" i="101" s="1"/>
  <c r="F107" i="101"/>
  <c r="K107" i="101"/>
  <c r="P107" i="101"/>
  <c r="F108" i="101"/>
  <c r="K108" i="101"/>
  <c r="P108" i="101"/>
  <c r="F109" i="101"/>
  <c r="K109" i="101"/>
  <c r="P109" i="101"/>
  <c r="F110" i="101"/>
  <c r="K110" i="101"/>
  <c r="P110" i="101"/>
  <c r="D114" i="101"/>
  <c r="I114" i="101"/>
  <c r="N114" i="101"/>
  <c r="D115" i="101"/>
  <c r="I115" i="101"/>
  <c r="N115" i="101"/>
  <c r="D116" i="101"/>
  <c r="I116" i="101"/>
  <c r="N116" i="101"/>
  <c r="D117" i="101"/>
  <c r="I117" i="101"/>
  <c r="N117" i="101"/>
  <c r="F121" i="101"/>
  <c r="K121" i="101"/>
  <c r="P121" i="101"/>
  <c r="F122" i="101"/>
  <c r="K122" i="101"/>
  <c r="P122" i="101"/>
  <c r="F123" i="101"/>
  <c r="K123" i="101"/>
  <c r="P123" i="101"/>
  <c r="F124" i="101"/>
  <c r="K124" i="101"/>
  <c r="P124" i="101"/>
  <c r="D131" i="101"/>
  <c r="I131" i="101"/>
  <c r="N131" i="101"/>
  <c r="Q93" i="101"/>
  <c r="P94" i="101"/>
  <c r="O95" i="101"/>
  <c r="N96" i="101"/>
  <c r="G107" i="101"/>
  <c r="L107" i="101"/>
  <c r="R107" i="101"/>
  <c r="G108" i="101"/>
  <c r="L108" i="101"/>
  <c r="R108" i="101"/>
  <c r="G109" i="101"/>
  <c r="L109" i="101"/>
  <c r="R109" i="101"/>
  <c r="G110" i="101"/>
  <c r="L110" i="101"/>
  <c r="R110" i="101"/>
  <c r="E114" i="101"/>
  <c r="J114" i="101"/>
  <c r="P114" i="101"/>
  <c r="E115" i="101"/>
  <c r="J115" i="101"/>
  <c r="P115" i="101"/>
  <c r="E116" i="101"/>
  <c r="J116" i="101"/>
  <c r="P116" i="101"/>
  <c r="E117" i="101"/>
  <c r="J117" i="101"/>
  <c r="P117" i="101"/>
  <c r="G121" i="101"/>
  <c r="L121" i="101"/>
  <c r="R121" i="101"/>
  <c r="G122" i="101"/>
  <c r="L122" i="101"/>
  <c r="R122" i="101"/>
  <c r="G123" i="101"/>
  <c r="L123" i="101"/>
  <c r="R123" i="101"/>
  <c r="G124" i="101"/>
  <c r="L124" i="101"/>
  <c r="R124" i="101"/>
  <c r="H128" i="101"/>
  <c r="H129" i="101"/>
  <c r="H130" i="101"/>
  <c r="E131" i="101"/>
  <c r="J131" i="101"/>
  <c r="P131" i="101"/>
  <c r="J15" i="101"/>
  <c r="J17" i="101" s="1"/>
  <c r="G28" i="101"/>
  <c r="C107" i="101"/>
  <c r="H107" i="101"/>
  <c r="N107" i="101"/>
  <c r="C108" i="101"/>
  <c r="H108" i="101"/>
  <c r="N108" i="101"/>
  <c r="C109" i="101"/>
  <c r="H109" i="101"/>
  <c r="N109" i="101"/>
  <c r="C110" i="101"/>
  <c r="H110" i="101"/>
  <c r="N110" i="101"/>
  <c r="F114" i="101"/>
  <c r="L114" i="101"/>
  <c r="Q114" i="101"/>
  <c r="F115" i="101"/>
  <c r="L115" i="101"/>
  <c r="Q115" i="101"/>
  <c r="F116" i="101"/>
  <c r="L116" i="101"/>
  <c r="Q116" i="101"/>
  <c r="F117" i="101"/>
  <c r="L117" i="101"/>
  <c r="Q117" i="101"/>
  <c r="C121" i="101"/>
  <c r="H121" i="101"/>
  <c r="N121" i="101"/>
  <c r="C122" i="101"/>
  <c r="H122" i="101"/>
  <c r="N122" i="101"/>
  <c r="C123" i="101"/>
  <c r="H123" i="101"/>
  <c r="N123" i="101"/>
  <c r="C124" i="101"/>
  <c r="H124" i="101"/>
  <c r="N124" i="101"/>
  <c r="L128" i="101"/>
  <c r="L129" i="101"/>
  <c r="L130" i="101"/>
  <c r="F131" i="101"/>
  <c r="L131" i="101"/>
  <c r="Q131" i="101"/>
  <c r="I28" i="101"/>
  <c r="K28" i="101" s="1"/>
  <c r="K30" i="101" s="1"/>
  <c r="D107" i="101"/>
  <c r="J107" i="101"/>
  <c r="O107" i="101"/>
  <c r="D108" i="101"/>
  <c r="J108" i="101"/>
  <c r="O108" i="101"/>
  <c r="D109" i="101"/>
  <c r="J109" i="101"/>
  <c r="O109" i="101"/>
  <c r="D110" i="101"/>
  <c r="J110" i="101"/>
  <c r="O110" i="101"/>
  <c r="H114" i="101"/>
  <c r="M114" i="101"/>
  <c r="R114" i="101"/>
  <c r="H115" i="101"/>
  <c r="M115" i="101"/>
  <c r="R115" i="101"/>
  <c r="H116" i="101"/>
  <c r="M116" i="101"/>
  <c r="R116" i="101"/>
  <c r="H117" i="101"/>
  <c r="M117" i="101"/>
  <c r="R117" i="101"/>
  <c r="D121" i="101"/>
  <c r="J121" i="101"/>
  <c r="O121" i="101"/>
  <c r="D122" i="101"/>
  <c r="J122" i="101"/>
  <c r="O122" i="101"/>
  <c r="D123" i="101"/>
  <c r="J123" i="101"/>
  <c r="O123" i="101"/>
  <c r="D124" i="101"/>
  <c r="J124" i="101"/>
  <c r="O124" i="101"/>
  <c r="P128" i="101"/>
  <c r="P129" i="101"/>
  <c r="P130" i="101"/>
  <c r="H131" i="101"/>
  <c r="M131" i="101"/>
  <c r="R131" i="101"/>
  <c r="Z53" i="102"/>
  <c r="AJ53" i="102"/>
  <c r="D61" i="102"/>
  <c r="R61" i="102"/>
  <c r="U10" i="105"/>
  <c r="AC10" i="105"/>
  <c r="Z11" i="105"/>
  <c r="AJ11" i="105"/>
  <c r="U101" i="105"/>
  <c r="AH101" i="105"/>
  <c r="P20" i="102"/>
  <c r="N20" i="102"/>
  <c r="F20" i="102"/>
  <c r="R19" i="102"/>
  <c r="J19" i="102"/>
  <c r="N18" i="102"/>
  <c r="F18" i="102"/>
  <c r="R17" i="102"/>
  <c r="J17" i="102"/>
  <c r="Q20" i="102"/>
  <c r="E20" i="102"/>
  <c r="M19" i="102"/>
  <c r="R18" i="102"/>
  <c r="I18" i="102"/>
  <c r="N17" i="102"/>
  <c r="E17" i="102"/>
  <c r="M17" i="102"/>
  <c r="M20" i="102"/>
  <c r="Z38" i="102"/>
  <c r="AJ38" i="102"/>
  <c r="AB41" i="102"/>
  <c r="R48" i="102"/>
  <c r="K48" i="102"/>
  <c r="D48" i="102"/>
  <c r="L47" i="102"/>
  <c r="F47" i="102"/>
  <c r="O46" i="102"/>
  <c r="G46" i="102"/>
  <c r="P45" i="102"/>
  <c r="J45" i="102"/>
  <c r="J48" i="102"/>
  <c r="R47" i="102"/>
  <c r="J47" i="102"/>
  <c r="R46" i="102"/>
  <c r="J46" i="102"/>
  <c r="R45" i="102"/>
  <c r="G45" i="102"/>
  <c r="P43" i="102"/>
  <c r="K45" i="102"/>
  <c r="AC53" i="102"/>
  <c r="U55" i="102"/>
  <c r="AC55" i="102"/>
  <c r="AD62" i="102"/>
  <c r="X62" i="102"/>
  <c r="AJ61" i="102"/>
  <c r="AC61" i="102"/>
  <c r="V61" i="102"/>
  <c r="AJ60" i="102"/>
  <c r="AC60" i="102"/>
  <c r="V60" i="102"/>
  <c r="AH59" i="102"/>
  <c r="AB59" i="102"/>
  <c r="AH57" i="102"/>
  <c r="AH62" i="102"/>
  <c r="Y62" i="102"/>
  <c r="AG61" i="102"/>
  <c r="X61" i="102"/>
  <c r="AG60" i="102"/>
  <c r="X60" i="102"/>
  <c r="AD59" i="102"/>
  <c r="V59" i="102"/>
  <c r="L59" i="102"/>
  <c r="AC59" i="102"/>
  <c r="L60" i="102"/>
  <c r="AB60" i="102"/>
  <c r="F61" i="102"/>
  <c r="Y61" i="102"/>
  <c r="F62" i="102"/>
  <c r="V62" i="102"/>
  <c r="AJ62" i="102"/>
  <c r="X12" i="105"/>
  <c r="AH12" i="105"/>
  <c r="AH43" i="105"/>
  <c r="AB66" i="105"/>
  <c r="AB67" i="105"/>
  <c r="AC68" i="105"/>
  <c r="AC69" i="105"/>
  <c r="AH99" i="105"/>
  <c r="AB38" i="102"/>
  <c r="AC39" i="102"/>
  <c r="AC40" i="102"/>
  <c r="F17" i="102"/>
  <c r="W17" i="102"/>
  <c r="E18" i="102"/>
  <c r="W18" i="102"/>
  <c r="F19" i="102"/>
  <c r="W19" i="102"/>
  <c r="I20" i="102"/>
  <c r="R24" i="102"/>
  <c r="D26" i="102"/>
  <c r="AI34" i="102"/>
  <c r="AJ34" i="102"/>
  <c r="AD34" i="102"/>
  <c r="Y34" i="102"/>
  <c r="AF33" i="102"/>
  <c r="Z33" i="102"/>
  <c r="U33" i="102"/>
  <c r="AG32" i="102"/>
  <c r="AB32" i="102"/>
  <c r="V32" i="102"/>
  <c r="AH31" i="102"/>
  <c r="AC31" i="102"/>
  <c r="X31" i="102"/>
  <c r="AH29" i="102"/>
  <c r="AH34" i="102"/>
  <c r="AB34" i="102"/>
  <c r="U34" i="102"/>
  <c r="AH33" i="102"/>
  <c r="AB33" i="102"/>
  <c r="AH32" i="102"/>
  <c r="Z32" i="102"/>
  <c r="AG31" i="102"/>
  <c r="Z31" i="102"/>
  <c r="L31" i="102"/>
  <c r="Y31" i="102"/>
  <c r="AJ31" i="102"/>
  <c r="L32" i="102"/>
  <c r="Y32" i="102"/>
  <c r="AJ32" i="102"/>
  <c r="O33" i="102"/>
  <c r="Y33" i="102"/>
  <c r="AJ33" i="102"/>
  <c r="Z34" i="102"/>
  <c r="R41" i="102"/>
  <c r="K41" i="102"/>
  <c r="D41" i="102"/>
  <c r="L40" i="102"/>
  <c r="F40" i="102"/>
  <c r="O39" i="102"/>
  <c r="G39" i="102"/>
  <c r="P38" i="102"/>
  <c r="J38" i="102"/>
  <c r="O41" i="102"/>
  <c r="F41" i="102"/>
  <c r="O40" i="102"/>
  <c r="D40" i="102"/>
  <c r="L39" i="102"/>
  <c r="D39" i="102"/>
  <c r="L38" i="102"/>
  <c r="D38" i="102"/>
  <c r="G38" i="102"/>
  <c r="U38" i="102"/>
  <c r="AF38" i="102"/>
  <c r="J39" i="102"/>
  <c r="U39" i="102"/>
  <c r="AF39" i="102"/>
  <c r="J40" i="102"/>
  <c r="V40" i="102"/>
  <c r="AG40" i="102"/>
  <c r="J41" i="102"/>
  <c r="V41" i="102"/>
  <c r="AG41" i="102"/>
  <c r="D45" i="102"/>
  <c r="O45" i="102"/>
  <c r="AB45" i="102"/>
  <c r="D46" i="102"/>
  <c r="P46" i="102"/>
  <c r="AC46" i="102"/>
  <c r="D47" i="102"/>
  <c r="P47" i="102"/>
  <c r="AC47" i="102"/>
  <c r="F48" i="102"/>
  <c r="P48" i="102"/>
  <c r="P50" i="102"/>
  <c r="K52" i="102"/>
  <c r="Y52" i="102"/>
  <c r="AG52" i="102"/>
  <c r="K53" i="102"/>
  <c r="Y53" i="102"/>
  <c r="AH53" i="102"/>
  <c r="K54" i="102"/>
  <c r="Y54" i="102"/>
  <c r="AH54" i="102"/>
  <c r="Z55" i="102"/>
  <c r="F59" i="102"/>
  <c r="X59" i="102"/>
  <c r="AJ59" i="102"/>
  <c r="P60" i="102"/>
  <c r="AH60" i="102"/>
  <c r="P61" i="102"/>
  <c r="AD61" i="102"/>
  <c r="AC62" i="102"/>
  <c r="AI76" i="102"/>
  <c r="AF76" i="102"/>
  <c r="Z76" i="102"/>
  <c r="U76" i="102"/>
  <c r="AG75" i="102"/>
  <c r="AB75" i="102"/>
  <c r="V75" i="102"/>
  <c r="AH74" i="102"/>
  <c r="AC74" i="102"/>
  <c r="X74" i="102"/>
  <c r="AJ73" i="102"/>
  <c r="AD73" i="102"/>
  <c r="Y73" i="102"/>
  <c r="AD76" i="102"/>
  <c r="X76" i="102"/>
  <c r="AD75" i="102"/>
  <c r="X75" i="102"/>
  <c r="AD74" i="102"/>
  <c r="V74" i="102"/>
  <c r="AC73" i="102"/>
  <c r="V73" i="102"/>
  <c r="AH71" i="102"/>
  <c r="X73" i="102"/>
  <c r="AG73" i="102"/>
  <c r="AB74" i="102"/>
  <c r="Y75" i="102"/>
  <c r="AH75" i="102"/>
  <c r="AC76" i="102"/>
  <c r="Z101" i="102"/>
  <c r="AH101" i="102"/>
  <c r="U102" i="102"/>
  <c r="AF102" i="102"/>
  <c r="Z103" i="102"/>
  <c r="AJ103" i="102"/>
  <c r="V104" i="102"/>
  <c r="AB10" i="105"/>
  <c r="V11" i="105"/>
  <c r="AG11" i="105"/>
  <c r="AC12" i="105"/>
  <c r="X13" i="105"/>
  <c r="AI20" i="105"/>
  <c r="AF20" i="105"/>
  <c r="Z20" i="105"/>
  <c r="U20" i="105"/>
  <c r="AG19" i="105"/>
  <c r="AB19" i="105"/>
  <c r="V19" i="105"/>
  <c r="AH18" i="105"/>
  <c r="AC18" i="105"/>
  <c r="X18" i="105"/>
  <c r="AJ17" i="105"/>
  <c r="AD17" i="105"/>
  <c r="Y17" i="105"/>
  <c r="AH20" i="105"/>
  <c r="AB20" i="105"/>
  <c r="AH19" i="105"/>
  <c r="Z19" i="105"/>
  <c r="AG18" i="105"/>
  <c r="Z18" i="105"/>
  <c r="AG17" i="105"/>
  <c r="Z17" i="105"/>
  <c r="AG20" i="105"/>
  <c r="Y20" i="105"/>
  <c r="AF19" i="105"/>
  <c r="Y19" i="105"/>
  <c r="AF18" i="105"/>
  <c r="U17" i="105"/>
  <c r="AC17" i="105"/>
  <c r="Y18" i="105"/>
  <c r="X19" i="105"/>
  <c r="X20" i="105"/>
  <c r="AB38" i="105"/>
  <c r="AB39" i="105"/>
  <c r="AC40" i="105"/>
  <c r="AC45" i="105"/>
  <c r="AD46" i="105"/>
  <c r="AD47" i="105"/>
  <c r="U66" i="105"/>
  <c r="AH66" i="105"/>
  <c r="U67" i="105"/>
  <c r="AJ67" i="105"/>
  <c r="U68" i="105"/>
  <c r="AJ68" i="105"/>
  <c r="V69" i="105"/>
  <c r="AH71" i="105"/>
  <c r="V73" i="105"/>
  <c r="V74" i="105"/>
  <c r="X75" i="105"/>
  <c r="AB94" i="105"/>
  <c r="AB95" i="105"/>
  <c r="AC96" i="105"/>
  <c r="AC101" i="105"/>
  <c r="AD102" i="105"/>
  <c r="AD103" i="105"/>
  <c r="AD104" i="105"/>
  <c r="H29" i="81"/>
  <c r="AI55" i="102"/>
  <c r="AJ55" i="102"/>
  <c r="AD55" i="102"/>
  <c r="Y55" i="102"/>
  <c r="AF54" i="102"/>
  <c r="Z54" i="102"/>
  <c r="U54" i="102"/>
  <c r="AG53" i="102"/>
  <c r="AB53" i="102"/>
  <c r="V53" i="102"/>
  <c r="AH52" i="102"/>
  <c r="AC52" i="102"/>
  <c r="X52" i="102"/>
  <c r="AH50" i="102"/>
  <c r="AF55" i="102"/>
  <c r="X55" i="102"/>
  <c r="AD54" i="102"/>
  <c r="X54" i="102"/>
  <c r="AD53" i="102"/>
  <c r="X53" i="102"/>
  <c r="AD52" i="102"/>
  <c r="V52" i="102"/>
  <c r="AB55" i="102"/>
  <c r="L62" i="102"/>
  <c r="K61" i="102"/>
  <c r="J60" i="102"/>
  <c r="R59" i="102"/>
  <c r="J59" i="102"/>
  <c r="J62" i="102"/>
  <c r="J61" i="102"/>
  <c r="G60" i="102"/>
  <c r="G59" i="102"/>
  <c r="P57" i="102"/>
  <c r="K59" i="102"/>
  <c r="AI13" i="105"/>
  <c r="AF13" i="105"/>
  <c r="Z13" i="105"/>
  <c r="U13" i="105"/>
  <c r="AG12" i="105"/>
  <c r="AB12" i="105"/>
  <c r="V12" i="105"/>
  <c r="AH11" i="105"/>
  <c r="AC11" i="105"/>
  <c r="X11" i="105"/>
  <c r="AJ10" i="105"/>
  <c r="AD10" i="105"/>
  <c r="Y10" i="105"/>
  <c r="AG13" i="105"/>
  <c r="Y13" i="105"/>
  <c r="AF12" i="105"/>
  <c r="Y12" i="105"/>
  <c r="AF11" i="105"/>
  <c r="Y11" i="105"/>
  <c r="AF10" i="105"/>
  <c r="X10" i="105"/>
  <c r="AI48" i="105"/>
  <c r="AF48" i="105"/>
  <c r="Z48" i="105"/>
  <c r="U48" i="105"/>
  <c r="AG47" i="105"/>
  <c r="AB47" i="105"/>
  <c r="V47" i="105"/>
  <c r="AH46" i="105"/>
  <c r="AC46" i="105"/>
  <c r="X46" i="105"/>
  <c r="AJ45" i="105"/>
  <c r="AD45" i="105"/>
  <c r="Y45" i="105"/>
  <c r="AG48" i="105"/>
  <c r="Y48" i="105"/>
  <c r="AF47" i="105"/>
  <c r="Y47" i="105"/>
  <c r="AF46" i="105"/>
  <c r="Y46" i="105"/>
  <c r="AF45" i="105"/>
  <c r="X45" i="105"/>
  <c r="AH48" i="105"/>
  <c r="AB48" i="105"/>
  <c r="AH47" i="105"/>
  <c r="Z47" i="105"/>
  <c r="AG46" i="105"/>
  <c r="Z46" i="105"/>
  <c r="AG45" i="105"/>
  <c r="Z45" i="105"/>
  <c r="U47" i="105"/>
  <c r="AJ47" i="105"/>
  <c r="AI69" i="105"/>
  <c r="AF69" i="105"/>
  <c r="Z69" i="105"/>
  <c r="U69" i="105"/>
  <c r="AG68" i="105"/>
  <c r="AB68" i="105"/>
  <c r="V68" i="105"/>
  <c r="AH67" i="105"/>
  <c r="AC67" i="105"/>
  <c r="X67" i="105"/>
  <c r="AJ66" i="105"/>
  <c r="AD66" i="105"/>
  <c r="Y66" i="105"/>
  <c r="AD69" i="105"/>
  <c r="X69" i="105"/>
  <c r="AD68" i="105"/>
  <c r="X68" i="105"/>
  <c r="AD67" i="105"/>
  <c r="V67" i="105"/>
  <c r="AC66" i="105"/>
  <c r="V66" i="105"/>
  <c r="AG69" i="105"/>
  <c r="Y69" i="105"/>
  <c r="AF68" i="105"/>
  <c r="Y68" i="105"/>
  <c r="AF67" i="105"/>
  <c r="Y67" i="105"/>
  <c r="AF66" i="105"/>
  <c r="X66" i="105"/>
  <c r="AH64" i="105"/>
  <c r="Z66" i="105"/>
  <c r="Z67" i="105"/>
  <c r="Z68" i="105"/>
  <c r="AB69" i="105"/>
  <c r="V104" i="105"/>
  <c r="Z52" i="102"/>
  <c r="AJ52" i="102"/>
  <c r="F60" i="102"/>
  <c r="U45" i="105"/>
  <c r="AH45" i="105"/>
  <c r="V48" i="105"/>
  <c r="AJ48" i="105"/>
  <c r="AI104" i="105"/>
  <c r="AF104" i="105"/>
  <c r="Z104" i="105"/>
  <c r="U104" i="105"/>
  <c r="AG103" i="105"/>
  <c r="AB103" i="105"/>
  <c r="V103" i="105"/>
  <c r="AH102" i="105"/>
  <c r="AC102" i="105"/>
  <c r="X102" i="105"/>
  <c r="AJ101" i="105"/>
  <c r="AD101" i="105"/>
  <c r="Y101" i="105"/>
  <c r="AG104" i="105"/>
  <c r="Y104" i="105"/>
  <c r="AF103" i="105"/>
  <c r="Y103" i="105"/>
  <c r="AF102" i="105"/>
  <c r="Y102" i="105"/>
  <c r="AF101" i="105"/>
  <c r="X101" i="105"/>
  <c r="AH104" i="105"/>
  <c r="AB104" i="105"/>
  <c r="AH103" i="105"/>
  <c r="Z103" i="105"/>
  <c r="AG102" i="105"/>
  <c r="Z102" i="105"/>
  <c r="AG101" i="105"/>
  <c r="Z101" i="105"/>
  <c r="U102" i="105"/>
  <c r="AJ102" i="105"/>
  <c r="U103" i="105"/>
  <c r="H17" i="81"/>
  <c r="D17" i="81"/>
  <c r="M18" i="102"/>
  <c r="Z39" i="102"/>
  <c r="K47" i="102"/>
  <c r="AB52" i="102"/>
  <c r="V10" i="105"/>
  <c r="AG10" i="105"/>
  <c r="AC13" i="105"/>
  <c r="V46" i="105"/>
  <c r="X47" i="105"/>
  <c r="X103" i="105"/>
  <c r="X104" i="105"/>
  <c r="F38" i="81"/>
  <c r="L38" i="81"/>
  <c r="M38" i="81" s="1"/>
  <c r="D38" i="81"/>
  <c r="C38" i="81"/>
  <c r="G38" i="81"/>
  <c r="AB54" i="102"/>
  <c r="AJ54" i="102"/>
  <c r="P62" i="102"/>
  <c r="U12" i="105"/>
  <c r="AD12" i="105"/>
  <c r="AB13" i="105"/>
  <c r="AJ13" i="105"/>
  <c r="U46" i="105"/>
  <c r="AJ46" i="105"/>
  <c r="AJ103" i="105"/>
  <c r="N19" i="102"/>
  <c r="AI41" i="102"/>
  <c r="AJ41" i="102"/>
  <c r="AD41" i="102"/>
  <c r="Y41" i="102"/>
  <c r="AF40" i="102"/>
  <c r="Z40" i="102"/>
  <c r="U40" i="102"/>
  <c r="AG39" i="102"/>
  <c r="AB39" i="102"/>
  <c r="V39" i="102"/>
  <c r="AH38" i="102"/>
  <c r="AC38" i="102"/>
  <c r="X38" i="102"/>
  <c r="AH36" i="102"/>
  <c r="AF41" i="102"/>
  <c r="X41" i="102"/>
  <c r="AD40" i="102"/>
  <c r="X40" i="102"/>
  <c r="AD39" i="102"/>
  <c r="X39" i="102"/>
  <c r="AD38" i="102"/>
  <c r="V38" i="102"/>
  <c r="AB40" i="102"/>
  <c r="AJ40" i="102"/>
  <c r="K46" i="102"/>
  <c r="L48" i="102"/>
  <c r="AC54" i="102"/>
  <c r="AH8" i="105"/>
  <c r="AB11" i="105"/>
  <c r="V45" i="105"/>
  <c r="X48" i="105"/>
  <c r="V101" i="105"/>
  <c r="V102" i="105"/>
  <c r="AF13" i="102"/>
  <c r="W13" i="102"/>
  <c r="W11" i="102"/>
  <c r="AJ20" i="102"/>
  <c r="X20" i="102"/>
  <c r="AE19" i="102"/>
  <c r="AJ18" i="102"/>
  <c r="X18" i="102"/>
  <c r="AE17" i="102"/>
  <c r="AH15" i="102"/>
  <c r="AE20" i="102"/>
  <c r="X19" i="102"/>
  <c r="AF18" i="102"/>
  <c r="AB17" i="102"/>
  <c r="Q17" i="102"/>
  <c r="AJ17" i="102"/>
  <c r="Q18" i="102"/>
  <c r="E19" i="102"/>
  <c r="Q19" i="102"/>
  <c r="AJ19" i="102"/>
  <c r="R20" i="102"/>
  <c r="P27" i="102"/>
  <c r="F27" i="102"/>
  <c r="K26" i="102"/>
  <c r="P25" i="102"/>
  <c r="F25" i="102"/>
  <c r="N24" i="102"/>
  <c r="F24" i="102"/>
  <c r="J27" i="102"/>
  <c r="J26" i="102"/>
  <c r="K25" i="102"/>
  <c r="Q24" i="102"/>
  <c r="E24" i="102"/>
  <c r="M24" i="102"/>
  <c r="O25" i="102"/>
  <c r="P26" i="102"/>
  <c r="R34" i="102"/>
  <c r="K34" i="102"/>
  <c r="D34" i="102"/>
  <c r="L33" i="102"/>
  <c r="F33" i="102"/>
  <c r="O32" i="102"/>
  <c r="G32" i="102"/>
  <c r="P31" i="102"/>
  <c r="J31" i="102"/>
  <c r="J34" i="102"/>
  <c r="R33" i="102"/>
  <c r="J33" i="102"/>
  <c r="R32" i="102"/>
  <c r="J32" i="102"/>
  <c r="R31" i="102"/>
  <c r="G31" i="102"/>
  <c r="P29" i="102"/>
  <c r="K31" i="102"/>
  <c r="K32" i="102"/>
  <c r="K33" i="102"/>
  <c r="L34" i="102"/>
  <c r="U41" i="102"/>
  <c r="AC41" i="102"/>
  <c r="AI48" i="102"/>
  <c r="AJ48" i="102"/>
  <c r="AD48" i="102"/>
  <c r="Y48" i="102"/>
  <c r="AF47" i="102"/>
  <c r="Z47" i="102"/>
  <c r="U47" i="102"/>
  <c r="AG46" i="102"/>
  <c r="AB46" i="102"/>
  <c r="V46" i="102"/>
  <c r="AH45" i="102"/>
  <c r="AC45" i="102"/>
  <c r="X45" i="102"/>
  <c r="AH43" i="102"/>
  <c r="AH48" i="102"/>
  <c r="AB48" i="102"/>
  <c r="U48" i="102"/>
  <c r="AH47" i="102"/>
  <c r="AB47" i="102"/>
  <c r="AH46" i="102"/>
  <c r="Z46" i="102"/>
  <c r="AG45" i="102"/>
  <c r="Z45" i="102"/>
  <c r="L45" i="102"/>
  <c r="Y45" i="102"/>
  <c r="AJ45" i="102"/>
  <c r="L46" i="102"/>
  <c r="Y46" i="102"/>
  <c r="AJ46" i="102"/>
  <c r="O47" i="102"/>
  <c r="Y47" i="102"/>
  <c r="AJ47" i="102"/>
  <c r="O48" i="102"/>
  <c r="Z48" i="102"/>
  <c r="R55" i="102"/>
  <c r="K55" i="102"/>
  <c r="D55" i="102"/>
  <c r="L54" i="102"/>
  <c r="F54" i="102"/>
  <c r="O53" i="102"/>
  <c r="G53" i="102"/>
  <c r="P52" i="102"/>
  <c r="J52" i="102"/>
  <c r="O55" i="102"/>
  <c r="F55" i="102"/>
  <c r="O54" i="102"/>
  <c r="D54" i="102"/>
  <c r="L53" i="102"/>
  <c r="D53" i="102"/>
  <c r="L52" i="102"/>
  <c r="D52" i="102"/>
  <c r="G52" i="102"/>
  <c r="U52" i="102"/>
  <c r="AF52" i="102"/>
  <c r="J53" i="102"/>
  <c r="U53" i="102"/>
  <c r="AF53" i="102"/>
  <c r="J54" i="102"/>
  <c r="V54" i="102"/>
  <c r="AG54" i="102"/>
  <c r="J55" i="102"/>
  <c r="V55" i="102"/>
  <c r="AG55" i="102"/>
  <c r="D59" i="102"/>
  <c r="P59" i="102"/>
  <c r="AG59" i="102"/>
  <c r="O60" i="102"/>
  <c r="AD60" i="102"/>
  <c r="L61" i="102"/>
  <c r="AB61" i="102"/>
  <c r="G62" i="102"/>
  <c r="AB62" i="102"/>
  <c r="AI104" i="102"/>
  <c r="AF104" i="102"/>
  <c r="Z104" i="102"/>
  <c r="U104" i="102"/>
  <c r="AG103" i="102"/>
  <c r="AB103" i="102"/>
  <c r="V103" i="102"/>
  <c r="AH102" i="102"/>
  <c r="AC102" i="102"/>
  <c r="X102" i="102"/>
  <c r="AJ101" i="102"/>
  <c r="AD101" i="102"/>
  <c r="Y101" i="102"/>
  <c r="AD104" i="102"/>
  <c r="X104" i="102"/>
  <c r="AD103" i="102"/>
  <c r="X103" i="102"/>
  <c r="AD102" i="102"/>
  <c r="V102" i="102"/>
  <c r="AC101" i="102"/>
  <c r="V101" i="102"/>
  <c r="AH99" i="102"/>
  <c r="X101" i="102"/>
  <c r="AG101" i="102"/>
  <c r="AB102" i="102"/>
  <c r="Y103" i="102"/>
  <c r="AH103" i="102"/>
  <c r="AC104" i="102"/>
  <c r="Z10" i="105"/>
  <c r="AH10" i="105"/>
  <c r="U11" i="105"/>
  <c r="AD11" i="105"/>
  <c r="Z12" i="105"/>
  <c r="AJ12" i="105"/>
  <c r="V13" i="105"/>
  <c r="AD13" i="105"/>
  <c r="AI41" i="105"/>
  <c r="AF41" i="105"/>
  <c r="Z41" i="105"/>
  <c r="U41" i="105"/>
  <c r="AG40" i="105"/>
  <c r="AB40" i="105"/>
  <c r="V40" i="105"/>
  <c r="AH39" i="105"/>
  <c r="AC39" i="105"/>
  <c r="X39" i="105"/>
  <c r="AJ38" i="105"/>
  <c r="AD38" i="105"/>
  <c r="Y38" i="105"/>
  <c r="AH36" i="105"/>
  <c r="AG41" i="105"/>
  <c r="Y41" i="105"/>
  <c r="AF40" i="105"/>
  <c r="Y40" i="105"/>
  <c r="AF39" i="105"/>
  <c r="Y39" i="105"/>
  <c r="AF38" i="105"/>
  <c r="X38" i="105"/>
  <c r="AD41" i="105"/>
  <c r="X41" i="105"/>
  <c r="AD40" i="105"/>
  <c r="X40" i="105"/>
  <c r="AD39" i="105"/>
  <c r="V39" i="105"/>
  <c r="AC38" i="105"/>
  <c r="V38" i="105"/>
  <c r="Z38" i="105"/>
  <c r="Z39" i="105"/>
  <c r="Z40" i="105"/>
  <c r="AB41" i="105"/>
  <c r="AB45" i="105"/>
  <c r="AB46" i="105"/>
  <c r="AC47" i="105"/>
  <c r="AC48" i="105"/>
  <c r="AG66" i="105"/>
  <c r="AG67" i="105"/>
  <c r="AH68" i="105"/>
  <c r="AH69" i="105"/>
  <c r="AI76" i="105"/>
  <c r="AF76" i="105"/>
  <c r="Z76" i="105"/>
  <c r="U76" i="105"/>
  <c r="AG75" i="105"/>
  <c r="AB75" i="105"/>
  <c r="V75" i="105"/>
  <c r="AH74" i="105"/>
  <c r="AC74" i="105"/>
  <c r="X74" i="105"/>
  <c r="AJ73" i="105"/>
  <c r="AD73" i="105"/>
  <c r="Y73" i="105"/>
  <c r="AH76" i="105"/>
  <c r="AB76" i="105"/>
  <c r="AH75" i="105"/>
  <c r="Z75" i="105"/>
  <c r="AG74" i="105"/>
  <c r="Z74" i="105"/>
  <c r="AG73" i="105"/>
  <c r="Z73" i="105"/>
  <c r="AG76" i="105"/>
  <c r="Y76" i="105"/>
  <c r="AF75" i="105"/>
  <c r="Y75" i="105"/>
  <c r="AF74" i="105"/>
  <c r="Y74" i="105"/>
  <c r="AF73" i="105"/>
  <c r="X73" i="105"/>
  <c r="U73" i="105"/>
  <c r="AH73" i="105"/>
  <c r="U74" i="105"/>
  <c r="AJ74" i="105"/>
  <c r="U75" i="105"/>
  <c r="AJ75" i="105"/>
  <c r="V76" i="105"/>
  <c r="AJ76" i="105"/>
  <c r="AI97" i="105"/>
  <c r="AF97" i="105"/>
  <c r="Z97" i="105"/>
  <c r="U97" i="105"/>
  <c r="AG96" i="105"/>
  <c r="AB96" i="105"/>
  <c r="V96" i="105"/>
  <c r="AH95" i="105"/>
  <c r="AC95" i="105"/>
  <c r="X95" i="105"/>
  <c r="AJ94" i="105"/>
  <c r="AD94" i="105"/>
  <c r="Y94" i="105"/>
  <c r="AD97" i="105"/>
  <c r="X97" i="105"/>
  <c r="AD96" i="105"/>
  <c r="X96" i="105"/>
  <c r="AD95" i="105"/>
  <c r="V95" i="105"/>
  <c r="AC94" i="105"/>
  <c r="V94" i="105"/>
  <c r="AG97" i="105"/>
  <c r="Y97" i="105"/>
  <c r="AF96" i="105"/>
  <c r="Y96" i="105"/>
  <c r="AF95" i="105"/>
  <c r="Y95" i="105"/>
  <c r="AF94" i="105"/>
  <c r="X94" i="105"/>
  <c r="AH92" i="105"/>
  <c r="Z94" i="105"/>
  <c r="Z95" i="105"/>
  <c r="Z96" i="105"/>
  <c r="AB97" i="105"/>
  <c r="AB101" i="105"/>
  <c r="AB102" i="105"/>
  <c r="AC103" i="105"/>
  <c r="AC104" i="105"/>
  <c r="I38" i="81"/>
  <c r="U31" i="105"/>
  <c r="AB31" i="105"/>
  <c r="AH31" i="105"/>
  <c r="U33" i="105"/>
  <c r="AC33" i="105"/>
  <c r="AJ33" i="105"/>
  <c r="AI62" i="105"/>
  <c r="AF62" i="105"/>
  <c r="Z62" i="105"/>
  <c r="U62" i="105"/>
  <c r="AG61" i="105"/>
  <c r="AB61" i="105"/>
  <c r="V61" i="105"/>
  <c r="AH60" i="105"/>
  <c r="AC60" i="105"/>
  <c r="X60" i="105"/>
  <c r="AJ59" i="105"/>
  <c r="AD59" i="105"/>
  <c r="Y59" i="105"/>
  <c r="U60" i="105"/>
  <c r="AB60" i="105"/>
  <c r="AJ60" i="105"/>
  <c r="V62" i="105"/>
  <c r="AC62" i="105"/>
  <c r="AJ62" i="105"/>
  <c r="AI90" i="105"/>
  <c r="AF90" i="105"/>
  <c r="Z90" i="105"/>
  <c r="U90" i="105"/>
  <c r="AG89" i="105"/>
  <c r="AB89" i="105"/>
  <c r="V89" i="105"/>
  <c r="AH88" i="105"/>
  <c r="AC88" i="105"/>
  <c r="X88" i="105"/>
  <c r="AJ87" i="105"/>
  <c r="AD87" i="105"/>
  <c r="Y87" i="105"/>
  <c r="U87" i="105"/>
  <c r="AB87" i="105"/>
  <c r="AH87" i="105"/>
  <c r="U88" i="105"/>
  <c r="AB88" i="105"/>
  <c r="AJ88" i="105"/>
  <c r="U89" i="105"/>
  <c r="AC89" i="105"/>
  <c r="AJ89" i="105"/>
  <c r="V90" i="105"/>
  <c r="AC90" i="105"/>
  <c r="AJ90" i="105"/>
  <c r="AI97" i="102"/>
  <c r="AF97" i="102"/>
  <c r="Z97" i="102"/>
  <c r="U97" i="102"/>
  <c r="AG96" i="102"/>
  <c r="AB96" i="102"/>
  <c r="V96" i="102"/>
  <c r="AH95" i="102"/>
  <c r="AC95" i="102"/>
  <c r="X95" i="102"/>
  <c r="AJ94" i="102"/>
  <c r="AD94" i="102"/>
  <c r="Y94" i="102"/>
  <c r="AF90" i="102"/>
  <c r="Z90" i="102"/>
  <c r="U90" i="102"/>
  <c r="AG89" i="102"/>
  <c r="AB89" i="102"/>
  <c r="V89" i="102"/>
  <c r="AH88" i="102"/>
  <c r="AC88" i="102"/>
  <c r="X88" i="102"/>
  <c r="AJ87" i="102"/>
  <c r="AD87" i="102"/>
  <c r="Y87" i="102"/>
  <c r="AF83" i="102"/>
  <c r="Z83" i="102"/>
  <c r="U83" i="102"/>
  <c r="AG82" i="102"/>
  <c r="AB82" i="102"/>
  <c r="V82" i="102"/>
  <c r="AH81" i="102"/>
  <c r="AC81" i="102"/>
  <c r="X81" i="102"/>
  <c r="AJ80" i="102"/>
  <c r="AD80" i="102"/>
  <c r="Y80" i="102"/>
  <c r="AF69" i="102"/>
  <c r="Z69" i="102"/>
  <c r="U69" i="102"/>
  <c r="AG68" i="102"/>
  <c r="AB68" i="102"/>
  <c r="V68" i="102"/>
  <c r="AH67" i="102"/>
  <c r="AC67" i="102"/>
  <c r="X67" i="102"/>
  <c r="AJ66" i="102"/>
  <c r="AD66" i="102"/>
  <c r="Y66" i="102"/>
  <c r="U66" i="102"/>
  <c r="AB66" i="102"/>
  <c r="AH66" i="102"/>
  <c r="U67" i="102"/>
  <c r="AB67" i="102"/>
  <c r="AJ67" i="102"/>
  <c r="U68" i="102"/>
  <c r="AC68" i="102"/>
  <c r="AJ68" i="102"/>
  <c r="V69" i="102"/>
  <c r="AC69" i="102"/>
  <c r="AJ69" i="102"/>
  <c r="X80" i="102"/>
  <c r="AF80" i="102"/>
  <c r="Y81" i="102"/>
  <c r="AF81" i="102"/>
  <c r="Y82" i="102"/>
  <c r="AF82" i="102"/>
  <c r="Y83" i="102"/>
  <c r="AG83" i="102"/>
  <c r="Z87" i="102"/>
  <c r="AG87" i="102"/>
  <c r="Z88" i="102"/>
  <c r="AG88" i="102"/>
  <c r="Z89" i="102"/>
  <c r="AH89" i="102"/>
  <c r="AB90" i="102"/>
  <c r="AH90" i="102"/>
  <c r="U94" i="102"/>
  <c r="AB94" i="102"/>
  <c r="AH94" i="102"/>
  <c r="U95" i="102"/>
  <c r="AB95" i="102"/>
  <c r="AJ95" i="102"/>
  <c r="U96" i="102"/>
  <c r="AC96" i="102"/>
  <c r="AJ96" i="102"/>
  <c r="V97" i="102"/>
  <c r="AC97" i="102"/>
  <c r="AJ97" i="102"/>
  <c r="AI27" i="105"/>
  <c r="AF27" i="105"/>
  <c r="Z27" i="105"/>
  <c r="U27" i="105"/>
  <c r="AG26" i="105"/>
  <c r="AB26" i="105"/>
  <c r="V26" i="105"/>
  <c r="AH25" i="105"/>
  <c r="AC25" i="105"/>
  <c r="X25" i="105"/>
  <c r="AJ24" i="105"/>
  <c r="AD24" i="105"/>
  <c r="Y24" i="105"/>
  <c r="U24" i="105"/>
  <c r="AB24" i="105"/>
  <c r="AH24" i="105"/>
  <c r="U25" i="105"/>
  <c r="AB25" i="105"/>
  <c r="AJ25" i="105"/>
  <c r="U26" i="105"/>
  <c r="AC26" i="105"/>
  <c r="AJ26" i="105"/>
  <c r="V27" i="105"/>
  <c r="AC27" i="105"/>
  <c r="AJ27" i="105"/>
  <c r="AH29" i="105"/>
  <c r="V31" i="105"/>
  <c r="AC31" i="105"/>
  <c r="V32" i="105"/>
  <c r="AD32" i="105"/>
  <c r="X33" i="105"/>
  <c r="AD33" i="105"/>
  <c r="X34" i="105"/>
  <c r="AI55" i="105"/>
  <c r="AF55" i="105"/>
  <c r="Z55" i="105"/>
  <c r="U55" i="105"/>
  <c r="AG54" i="105"/>
  <c r="AB54" i="105"/>
  <c r="V54" i="105"/>
  <c r="AH53" i="105"/>
  <c r="AC53" i="105"/>
  <c r="X53" i="105"/>
  <c r="AJ52" i="105"/>
  <c r="AD52" i="105"/>
  <c r="Y52" i="105"/>
  <c r="U52" i="105"/>
  <c r="AB52" i="105"/>
  <c r="AH52" i="105"/>
  <c r="U53" i="105"/>
  <c r="AB53" i="105"/>
  <c r="AJ53" i="105"/>
  <c r="U54" i="105"/>
  <c r="AC54" i="105"/>
  <c r="AJ54" i="105"/>
  <c r="V55" i="105"/>
  <c r="AC55" i="105"/>
  <c r="AJ55" i="105"/>
  <c r="AH57" i="105"/>
  <c r="V59" i="105"/>
  <c r="AC59" i="105"/>
  <c r="V60" i="105"/>
  <c r="AD60" i="105"/>
  <c r="X61" i="105"/>
  <c r="AD61" i="105"/>
  <c r="X62" i="105"/>
  <c r="AD62" i="105"/>
  <c r="AI83" i="105"/>
  <c r="AF83" i="105"/>
  <c r="Z83" i="105"/>
  <c r="U83" i="105"/>
  <c r="AG82" i="105"/>
  <c r="AB82" i="105"/>
  <c r="V82" i="105"/>
  <c r="AH81" i="105"/>
  <c r="AC81" i="105"/>
  <c r="X81" i="105"/>
  <c r="AJ80" i="105"/>
  <c r="AD80" i="105"/>
  <c r="Y80" i="105"/>
  <c r="U80" i="105"/>
  <c r="AB80" i="105"/>
  <c r="AH80" i="105"/>
  <c r="U81" i="105"/>
  <c r="AB81" i="105"/>
  <c r="AJ81" i="105"/>
  <c r="U82" i="105"/>
  <c r="AC82" i="105"/>
  <c r="AJ82" i="105"/>
  <c r="V83" i="105"/>
  <c r="AC83" i="105"/>
  <c r="AJ83" i="105"/>
  <c r="AH85" i="105"/>
  <c r="V87" i="105"/>
  <c r="AC87" i="105"/>
  <c r="V88" i="105"/>
  <c r="AD88" i="105"/>
  <c r="X89" i="105"/>
  <c r="AD89" i="105"/>
  <c r="X90" i="105"/>
  <c r="AD90" i="105"/>
  <c r="D33" i="81"/>
  <c r="C39" i="81"/>
  <c r="E39" i="81" s="1"/>
  <c r="F42" i="81"/>
  <c r="J42" i="81" s="1"/>
  <c r="L42" i="81"/>
  <c r="D42" i="81"/>
  <c r="E42" i="81" s="1"/>
  <c r="K42" i="81"/>
  <c r="F46" i="81"/>
  <c r="G46" i="81"/>
  <c r="L46" i="81"/>
  <c r="M46" i="81" s="1"/>
  <c r="D46" i="81"/>
  <c r="E46" i="81" s="1"/>
  <c r="F54" i="81"/>
  <c r="G54" i="81"/>
  <c r="L54" i="81"/>
  <c r="D54" i="81"/>
  <c r="K54" i="81"/>
  <c r="C54" i="81"/>
  <c r="F43" i="81"/>
  <c r="G43" i="81"/>
  <c r="K43" i="81"/>
  <c r="F45" i="81"/>
  <c r="L45" i="81"/>
  <c r="D45" i="81"/>
  <c r="K45" i="81"/>
  <c r="C45" i="81"/>
  <c r="F50" i="81"/>
  <c r="G50" i="81"/>
  <c r="L50" i="81"/>
  <c r="D50" i="81"/>
  <c r="K50" i="81"/>
  <c r="C50" i="81"/>
  <c r="C43" i="81"/>
  <c r="L43" i="81"/>
  <c r="G45" i="81"/>
  <c r="E47" i="81"/>
  <c r="I50" i="81"/>
  <c r="AI34" i="105"/>
  <c r="AF34" i="105"/>
  <c r="Z34" i="105"/>
  <c r="U34" i="105"/>
  <c r="AG33" i="105"/>
  <c r="AB33" i="105"/>
  <c r="V33" i="105"/>
  <c r="AH32" i="105"/>
  <c r="AC32" i="105"/>
  <c r="X32" i="105"/>
  <c r="AJ31" i="105"/>
  <c r="AD31" i="105"/>
  <c r="Y31" i="105"/>
  <c r="U32" i="105"/>
  <c r="AB32" i="105"/>
  <c r="AJ32" i="105"/>
  <c r="V34" i="105"/>
  <c r="AC34" i="105"/>
  <c r="AJ34" i="105"/>
  <c r="U59" i="105"/>
  <c r="AB59" i="105"/>
  <c r="AH59" i="105"/>
  <c r="U61" i="105"/>
  <c r="AC61" i="105"/>
  <c r="AJ61" i="105"/>
  <c r="F39" i="81"/>
  <c r="G39" i="81"/>
  <c r="K39" i="81"/>
  <c r="M39" i="81" s="1"/>
  <c r="F41" i="81"/>
  <c r="K41" i="81"/>
  <c r="C41" i="81"/>
  <c r="E41" i="81" s="1"/>
  <c r="L41" i="81"/>
  <c r="D43" i="81"/>
  <c r="I45" i="81"/>
  <c r="J45" i="81" s="1"/>
  <c r="G58" i="81"/>
  <c r="H58" i="81" s="1"/>
  <c r="L58" i="81"/>
  <c r="G62" i="81"/>
  <c r="H62" i="81" s="1"/>
  <c r="L62" i="81"/>
  <c r="J69" i="81"/>
  <c r="J84" i="81"/>
  <c r="K84" i="81" s="1"/>
  <c r="Z10" i="107"/>
  <c r="AH10" i="107"/>
  <c r="AC11" i="107"/>
  <c r="V12" i="107"/>
  <c r="AF12" i="107"/>
  <c r="Z13" i="107"/>
  <c r="AI27" i="107"/>
  <c r="AG27" i="107"/>
  <c r="AB27" i="107"/>
  <c r="V27" i="107"/>
  <c r="AG26" i="107"/>
  <c r="AB26" i="107"/>
  <c r="V26" i="107"/>
  <c r="AG25" i="107"/>
  <c r="AB25" i="107"/>
  <c r="V25" i="107"/>
  <c r="AG24" i="107"/>
  <c r="AB24" i="107"/>
  <c r="V24" i="107"/>
  <c r="AJ27" i="107"/>
  <c r="AC27" i="107"/>
  <c r="U27" i="107"/>
  <c r="AD26" i="107"/>
  <c r="X26" i="107"/>
  <c r="AF25" i="107"/>
  <c r="Y25" i="107"/>
  <c r="AH24" i="107"/>
  <c r="Z24" i="107"/>
  <c r="AH22" i="107"/>
  <c r="AC24" i="107"/>
  <c r="U25" i="107"/>
  <c r="AD25" i="107"/>
  <c r="Y26" i="107"/>
  <c r="AH26" i="107"/>
  <c r="Z27" i="107"/>
  <c r="AI41" i="107"/>
  <c r="AJ41" i="107"/>
  <c r="AD41" i="107"/>
  <c r="Y41" i="107"/>
  <c r="AJ40" i="107"/>
  <c r="AD40" i="107"/>
  <c r="Y40" i="107"/>
  <c r="AJ39" i="107"/>
  <c r="AD39" i="107"/>
  <c r="Y39" i="107"/>
  <c r="AJ38" i="107"/>
  <c r="AD38" i="107"/>
  <c r="Y38" i="107"/>
  <c r="AH36" i="107"/>
  <c r="AG41" i="107"/>
  <c r="Z41" i="107"/>
  <c r="AH40" i="107"/>
  <c r="AB40" i="107"/>
  <c r="U40" i="107"/>
  <c r="AC39" i="107"/>
  <c r="V39" i="107"/>
  <c r="AF38" i="107"/>
  <c r="X38" i="107"/>
  <c r="AB38" i="107"/>
  <c r="U39" i="107"/>
  <c r="AF39" i="107"/>
  <c r="X40" i="107"/>
  <c r="AG40" i="107"/>
  <c r="AB41" i="107"/>
  <c r="Y45" i="107"/>
  <c r="AJ45" i="107"/>
  <c r="AC46" i="107"/>
  <c r="V47" i="107"/>
  <c r="AG47" i="107"/>
  <c r="Y48" i="107"/>
  <c r="AF83" i="107"/>
  <c r="Z83" i="107"/>
  <c r="AH82" i="107"/>
  <c r="AA82" i="107"/>
  <c r="AJ81" i="107"/>
  <c r="AB81" i="107"/>
  <c r="V81" i="107"/>
  <c r="AE80" i="107"/>
  <c r="W80" i="107"/>
  <c r="AB83" i="107"/>
  <c r="AJ82" i="107"/>
  <c r="Z82" i="107"/>
  <c r="AF81" i="107"/>
  <c r="W81" i="107"/>
  <c r="AB80" i="107"/>
  <c r="AH78" i="107"/>
  <c r="AH83" i="107"/>
  <c r="W83" i="107"/>
  <c r="AE82" i="107"/>
  <c r="V82" i="107"/>
  <c r="AA81" i="107"/>
  <c r="AH80" i="107"/>
  <c r="Z80" i="107"/>
  <c r="AJ80" i="107"/>
  <c r="W82" i="107"/>
  <c r="AA83" i="107"/>
  <c r="AF90" i="107"/>
  <c r="Z90" i="107"/>
  <c r="AH89" i="107"/>
  <c r="AA89" i="107"/>
  <c r="AJ88" i="107"/>
  <c r="AB88" i="107"/>
  <c r="V88" i="107"/>
  <c r="AE87" i="107"/>
  <c r="W87" i="107"/>
  <c r="AH90" i="107"/>
  <c r="W90" i="107"/>
  <c r="AF89" i="107"/>
  <c r="W89" i="107"/>
  <c r="AF88" i="107"/>
  <c r="W88" i="107"/>
  <c r="AF87" i="107"/>
  <c r="V87" i="107"/>
  <c r="AB90" i="107"/>
  <c r="AB89" i="107"/>
  <c r="AA88" i="107"/>
  <c r="AJ87" i="107"/>
  <c r="AA87" i="107"/>
  <c r="AH85" i="107"/>
  <c r="AH87" i="107"/>
  <c r="AH88" i="107"/>
  <c r="AJ89" i="107"/>
  <c r="AJ90" i="107"/>
  <c r="Z95" i="107"/>
  <c r="AE97" i="107"/>
  <c r="Z101" i="107"/>
  <c r="AH102" i="107"/>
  <c r="E51" i="81"/>
  <c r="C62" i="81"/>
  <c r="D69" i="81"/>
  <c r="J71" i="81"/>
  <c r="J77" i="81"/>
  <c r="C84" i="81"/>
  <c r="C88" i="81"/>
  <c r="J92" i="81"/>
  <c r="K92" i="81" s="1"/>
  <c r="D94" i="81"/>
  <c r="AI13" i="107"/>
  <c r="AJ13" i="107"/>
  <c r="AD13" i="107"/>
  <c r="Y13" i="107"/>
  <c r="AJ12" i="107"/>
  <c r="AD12" i="107"/>
  <c r="Y12" i="107"/>
  <c r="AJ11" i="107"/>
  <c r="AD11" i="107"/>
  <c r="Y11" i="107"/>
  <c r="AJ10" i="107"/>
  <c r="AD10" i="107"/>
  <c r="Y10" i="107"/>
  <c r="AH8" i="107"/>
  <c r="AF13" i="107"/>
  <c r="X13" i="107"/>
  <c r="AG12" i="107"/>
  <c r="Z12" i="107"/>
  <c r="AH11" i="107"/>
  <c r="AB11" i="107"/>
  <c r="U11" i="107"/>
  <c r="AC10" i="107"/>
  <c r="V10" i="107"/>
  <c r="AB10" i="107"/>
  <c r="V11" i="107"/>
  <c r="AF11" i="107"/>
  <c r="X12" i="107"/>
  <c r="AH12" i="107"/>
  <c r="AB13" i="107"/>
  <c r="AI48" i="107"/>
  <c r="AF48" i="107"/>
  <c r="Z48" i="107"/>
  <c r="U48" i="107"/>
  <c r="AF47" i="107"/>
  <c r="Z47" i="107"/>
  <c r="U47" i="107"/>
  <c r="AF46" i="107"/>
  <c r="Z46" i="107"/>
  <c r="U46" i="107"/>
  <c r="AF45" i="107"/>
  <c r="Z45" i="107"/>
  <c r="U45" i="107"/>
  <c r="AJ48" i="107"/>
  <c r="AC48" i="107"/>
  <c r="V48" i="107"/>
  <c r="AD47" i="107"/>
  <c r="X47" i="107"/>
  <c r="AG46" i="107"/>
  <c r="Y46" i="107"/>
  <c r="AH45" i="107"/>
  <c r="AB45" i="107"/>
  <c r="AH43" i="107"/>
  <c r="AC45" i="107"/>
  <c r="V46" i="107"/>
  <c r="AD46" i="107"/>
  <c r="Y47" i="107"/>
  <c r="AH47" i="107"/>
  <c r="AB48" i="107"/>
  <c r="V80" i="107"/>
  <c r="Z81" i="107"/>
  <c r="AB82" i="107"/>
  <c r="AE83" i="107"/>
  <c r="V89" i="107"/>
  <c r="V90" i="107"/>
  <c r="AH101" i="107"/>
  <c r="M47" i="81"/>
  <c r="I49" i="81"/>
  <c r="M51" i="81"/>
  <c r="I53" i="81"/>
  <c r="C58" i="81"/>
  <c r="I10" i="102"/>
  <c r="Q10" i="102"/>
  <c r="E11" i="102"/>
  <c r="M11" i="102"/>
  <c r="I12" i="102"/>
  <c r="Q12" i="102"/>
  <c r="E13" i="102"/>
  <c r="M13" i="102"/>
  <c r="D66" i="102"/>
  <c r="K66" i="102"/>
  <c r="R66" i="102"/>
  <c r="J67" i="102"/>
  <c r="P67" i="102"/>
  <c r="G68" i="102"/>
  <c r="O68" i="102"/>
  <c r="F69" i="102"/>
  <c r="D73" i="102"/>
  <c r="K73" i="102"/>
  <c r="R73" i="102"/>
  <c r="J74" i="102"/>
  <c r="P74" i="102"/>
  <c r="G75" i="102"/>
  <c r="O75" i="102"/>
  <c r="F76" i="102"/>
  <c r="L76" i="102"/>
  <c r="D80" i="102"/>
  <c r="K80" i="102"/>
  <c r="R80" i="102"/>
  <c r="J81" i="102"/>
  <c r="P81" i="102"/>
  <c r="G82" i="102"/>
  <c r="O82" i="102"/>
  <c r="F83" i="102"/>
  <c r="D87" i="102"/>
  <c r="K87" i="102"/>
  <c r="R87" i="102"/>
  <c r="J88" i="102"/>
  <c r="P88" i="102"/>
  <c r="G89" i="102"/>
  <c r="O89" i="102"/>
  <c r="F90" i="102"/>
  <c r="D94" i="102"/>
  <c r="K94" i="102"/>
  <c r="R94" i="102"/>
  <c r="J95" i="102"/>
  <c r="P95" i="102"/>
  <c r="G96" i="102"/>
  <c r="O96" i="102"/>
  <c r="F97" i="102"/>
  <c r="D101" i="102"/>
  <c r="K101" i="102"/>
  <c r="R101" i="102"/>
  <c r="J102" i="102"/>
  <c r="P102" i="102"/>
  <c r="G103" i="102"/>
  <c r="O103" i="102"/>
  <c r="F104" i="102"/>
  <c r="D10" i="105"/>
  <c r="K10" i="105"/>
  <c r="R10" i="105"/>
  <c r="J11" i="105"/>
  <c r="P11" i="105"/>
  <c r="G12" i="105"/>
  <c r="O12" i="105"/>
  <c r="F13" i="105"/>
  <c r="D17" i="105"/>
  <c r="K17" i="105"/>
  <c r="R17" i="105"/>
  <c r="J18" i="105"/>
  <c r="P18" i="105"/>
  <c r="G19" i="105"/>
  <c r="O19" i="105"/>
  <c r="F20" i="105"/>
  <c r="D24" i="105"/>
  <c r="K24" i="105"/>
  <c r="R24" i="105"/>
  <c r="J25" i="105"/>
  <c r="P25" i="105"/>
  <c r="G26" i="105"/>
  <c r="O26" i="105"/>
  <c r="F27" i="105"/>
  <c r="D31" i="105"/>
  <c r="K31" i="105"/>
  <c r="R31" i="105"/>
  <c r="J32" i="105"/>
  <c r="P32" i="105"/>
  <c r="G33" i="105"/>
  <c r="O33" i="105"/>
  <c r="F34" i="105"/>
  <c r="D38" i="105"/>
  <c r="K38" i="105"/>
  <c r="R38" i="105"/>
  <c r="J39" i="105"/>
  <c r="P39" i="105"/>
  <c r="G40" i="105"/>
  <c r="O40" i="105"/>
  <c r="F41" i="105"/>
  <c r="D45" i="105"/>
  <c r="K45" i="105"/>
  <c r="R45" i="105"/>
  <c r="J46" i="105"/>
  <c r="P46" i="105"/>
  <c r="G47" i="105"/>
  <c r="O47" i="105"/>
  <c r="F48" i="105"/>
  <c r="D52" i="105"/>
  <c r="K52" i="105"/>
  <c r="R52" i="105"/>
  <c r="J53" i="105"/>
  <c r="P53" i="105"/>
  <c r="G54" i="105"/>
  <c r="O54" i="105"/>
  <c r="F55" i="105"/>
  <c r="D59" i="105"/>
  <c r="K59" i="105"/>
  <c r="R59" i="105"/>
  <c r="J60" i="105"/>
  <c r="P60" i="105"/>
  <c r="G61" i="105"/>
  <c r="O61" i="105"/>
  <c r="F62" i="105"/>
  <c r="D66" i="105"/>
  <c r="K66" i="105"/>
  <c r="R66" i="105"/>
  <c r="J67" i="105"/>
  <c r="P67" i="105"/>
  <c r="G68" i="105"/>
  <c r="O68" i="105"/>
  <c r="F69" i="105"/>
  <c r="D73" i="105"/>
  <c r="K73" i="105"/>
  <c r="R73" i="105"/>
  <c r="J74" i="105"/>
  <c r="P74" i="105"/>
  <c r="G75" i="105"/>
  <c r="O75" i="105"/>
  <c r="F76" i="105"/>
  <c r="D80" i="105"/>
  <c r="K80" i="105"/>
  <c r="R80" i="105"/>
  <c r="J81" i="105"/>
  <c r="P81" i="105"/>
  <c r="G82" i="105"/>
  <c r="O82" i="105"/>
  <c r="F83" i="105"/>
  <c r="D87" i="105"/>
  <c r="K87" i="105"/>
  <c r="R87" i="105"/>
  <c r="J88" i="105"/>
  <c r="P88" i="105"/>
  <c r="G89" i="105"/>
  <c r="O89" i="105"/>
  <c r="F90" i="105"/>
  <c r="D94" i="105"/>
  <c r="K94" i="105"/>
  <c r="R94" i="105"/>
  <c r="J95" i="105"/>
  <c r="P95" i="105"/>
  <c r="G96" i="105"/>
  <c r="O96" i="105"/>
  <c r="F97" i="105"/>
  <c r="D101" i="105"/>
  <c r="K101" i="105"/>
  <c r="R101" i="105"/>
  <c r="J102" i="105"/>
  <c r="P102" i="105"/>
  <c r="G103" i="105"/>
  <c r="O103" i="105"/>
  <c r="F104" i="105"/>
  <c r="I40" i="81"/>
  <c r="I44" i="81"/>
  <c r="G47" i="81"/>
  <c r="I48" i="81"/>
  <c r="C49" i="81"/>
  <c r="K49" i="81"/>
  <c r="G51" i="81"/>
  <c r="H51" i="81" s="1"/>
  <c r="I52" i="81"/>
  <c r="C53" i="81"/>
  <c r="K53" i="81"/>
  <c r="G55" i="81"/>
  <c r="H55" i="81" s="1"/>
  <c r="L56" i="81"/>
  <c r="G57" i="81"/>
  <c r="H57" i="81" s="1"/>
  <c r="L57" i="81"/>
  <c r="D58" i="81"/>
  <c r="E58" i="81" s="1"/>
  <c r="I58" i="81"/>
  <c r="C59" i="81"/>
  <c r="I59" i="81"/>
  <c r="J59" i="81" s="1"/>
  <c r="G60" i="81"/>
  <c r="H60" i="81" s="1"/>
  <c r="L60" i="81"/>
  <c r="M60" i="81" s="1"/>
  <c r="G61" i="81"/>
  <c r="H61" i="81" s="1"/>
  <c r="L61" i="81"/>
  <c r="M61" i="81" s="1"/>
  <c r="D62" i="81"/>
  <c r="I62" i="81"/>
  <c r="C63" i="81"/>
  <c r="I63" i="81"/>
  <c r="J63" i="81" s="1"/>
  <c r="G64" i="81"/>
  <c r="H64" i="81" s="1"/>
  <c r="L64" i="81"/>
  <c r="M64" i="81" s="1"/>
  <c r="J68" i="81"/>
  <c r="K68" i="81" s="1"/>
  <c r="F69" i="81"/>
  <c r="D70" i="81"/>
  <c r="D73" i="81"/>
  <c r="F76" i="81"/>
  <c r="D77" i="81"/>
  <c r="J79" i="81"/>
  <c r="D84" i="81"/>
  <c r="E84" i="81" s="1"/>
  <c r="F88" i="81"/>
  <c r="C92" i="81"/>
  <c r="I93" i="81"/>
  <c r="K93" i="81" s="1"/>
  <c r="J94" i="81"/>
  <c r="K94" i="81" s="1"/>
  <c r="E105" i="81"/>
  <c r="E113" i="81"/>
  <c r="E121" i="81"/>
  <c r="U10" i="107"/>
  <c r="AF10" i="107"/>
  <c r="X11" i="107"/>
  <c r="AG11" i="107"/>
  <c r="AB12" i="107"/>
  <c r="U13" i="107"/>
  <c r="AC13" i="107"/>
  <c r="X24" i="107"/>
  <c r="AF24" i="107"/>
  <c r="Z25" i="107"/>
  <c r="AJ25" i="107"/>
  <c r="AC26" i="107"/>
  <c r="X27" i="107"/>
  <c r="AF27" i="107"/>
  <c r="V38" i="107"/>
  <c r="AG38" i="107"/>
  <c r="Z39" i="107"/>
  <c r="AH39" i="107"/>
  <c r="AC40" i="107"/>
  <c r="V41" i="107"/>
  <c r="AF41" i="107"/>
  <c r="V45" i="107"/>
  <c r="AD45" i="107"/>
  <c r="X46" i="107"/>
  <c r="AH46" i="107"/>
  <c r="AB47" i="107"/>
  <c r="AJ47" i="107"/>
  <c r="AD48" i="107"/>
  <c r="AI55" i="107"/>
  <c r="AG55" i="107"/>
  <c r="AB55" i="107"/>
  <c r="V55" i="107"/>
  <c r="AG54" i="107"/>
  <c r="AB54" i="107"/>
  <c r="V54" i="107"/>
  <c r="AG53" i="107"/>
  <c r="AB53" i="107"/>
  <c r="V53" i="107"/>
  <c r="AG52" i="107"/>
  <c r="AB52" i="107"/>
  <c r="V52" i="107"/>
  <c r="AH55" i="107"/>
  <c r="Z55" i="107"/>
  <c r="AJ54" i="107"/>
  <c r="AC54" i="107"/>
  <c r="U54" i="107"/>
  <c r="AD53" i="107"/>
  <c r="X53" i="107"/>
  <c r="AF52" i="107"/>
  <c r="Y52" i="107"/>
  <c r="AD55" i="107"/>
  <c r="X55" i="107"/>
  <c r="AF54" i="107"/>
  <c r="Y54" i="107"/>
  <c r="AH53" i="107"/>
  <c r="Z53" i="107"/>
  <c r="AJ52" i="107"/>
  <c r="AC52" i="107"/>
  <c r="U52" i="107"/>
  <c r="AD52" i="107"/>
  <c r="AC53" i="107"/>
  <c r="Z54" i="107"/>
  <c r="Y55" i="107"/>
  <c r="AA80" i="107"/>
  <c r="AE81" i="107"/>
  <c r="AF82" i="107"/>
  <c r="AJ83" i="107"/>
  <c r="Z87" i="107"/>
  <c r="Z88" i="107"/>
  <c r="Z89" i="107"/>
  <c r="AA90" i="107"/>
  <c r="AF97" i="107"/>
  <c r="Z97" i="107"/>
  <c r="AH96" i="107"/>
  <c r="AA96" i="107"/>
  <c r="AJ95" i="107"/>
  <c r="AB95" i="107"/>
  <c r="V95" i="107"/>
  <c r="AE94" i="107"/>
  <c r="W94" i="107"/>
  <c r="AB97" i="107"/>
  <c r="AB96" i="107"/>
  <c r="AA95" i="107"/>
  <c r="AJ94" i="107"/>
  <c r="AA94" i="107"/>
  <c r="AH92" i="107"/>
  <c r="AJ97" i="107"/>
  <c r="AA97" i="107"/>
  <c r="AJ96" i="107"/>
  <c r="Z96" i="107"/>
  <c r="AH97" i="107"/>
  <c r="W97" i="107"/>
  <c r="AF96" i="107"/>
  <c r="W96" i="107"/>
  <c r="AF95" i="107"/>
  <c r="W95" i="107"/>
  <c r="AF94" i="107"/>
  <c r="V94" i="107"/>
  <c r="Z94" i="107"/>
  <c r="AH95" i="107"/>
  <c r="V96" i="107"/>
  <c r="AF104" i="107"/>
  <c r="Z104" i="107"/>
  <c r="AH103" i="107"/>
  <c r="AA103" i="107"/>
  <c r="AJ102" i="107"/>
  <c r="AB102" i="107"/>
  <c r="V102" i="107"/>
  <c r="AE101" i="107"/>
  <c r="W101" i="107"/>
  <c r="AH104" i="107"/>
  <c r="W104" i="107"/>
  <c r="AF103" i="107"/>
  <c r="W103" i="107"/>
  <c r="AF102" i="107"/>
  <c r="W102" i="107"/>
  <c r="AF101" i="107"/>
  <c r="V101" i="107"/>
  <c r="AE104" i="107"/>
  <c r="V104" i="107"/>
  <c r="AE103" i="107"/>
  <c r="V103" i="107"/>
  <c r="AE102" i="107"/>
  <c r="AB101" i="107"/>
  <c r="AB104" i="107"/>
  <c r="AB103" i="107"/>
  <c r="AA102" i="107"/>
  <c r="AJ101" i="107"/>
  <c r="AA101" i="107"/>
  <c r="AH99" i="107"/>
  <c r="AJ104" i="107"/>
  <c r="AA104" i="107"/>
  <c r="AJ103" i="107"/>
  <c r="I47" i="81"/>
  <c r="J47" i="81" s="1"/>
  <c r="D49" i="81"/>
  <c r="E49" i="81" s="1"/>
  <c r="L49" i="81"/>
  <c r="M49" i="81" s="1"/>
  <c r="I51" i="81"/>
  <c r="J51" i="81" s="1"/>
  <c r="D53" i="81"/>
  <c r="L53" i="81"/>
  <c r="I55" i="81"/>
  <c r="J55" i="81" s="1"/>
  <c r="G56" i="81"/>
  <c r="H56" i="81" s="1"/>
  <c r="K58" i="81"/>
  <c r="M58" i="81" s="1"/>
  <c r="D59" i="81"/>
  <c r="K59" i="81"/>
  <c r="M59" i="81" s="1"/>
  <c r="K62" i="81"/>
  <c r="D63" i="81"/>
  <c r="K63" i="81"/>
  <c r="M63" i="81" s="1"/>
  <c r="J70" i="81"/>
  <c r="K70" i="81" s="1"/>
  <c r="J76" i="81"/>
  <c r="K76" i="81" s="1"/>
  <c r="F84" i="81"/>
  <c r="D92" i="81"/>
  <c r="E92" i="81" s="1"/>
  <c r="X10" i="107"/>
  <c r="AG10" i="107"/>
  <c r="Z11" i="107"/>
  <c r="U12" i="107"/>
  <c r="AC12" i="107"/>
  <c r="V13" i="107"/>
  <c r="AG13" i="107"/>
  <c r="X45" i="107"/>
  <c r="AG45" i="107"/>
  <c r="AB46" i="107"/>
  <c r="AJ46" i="107"/>
  <c r="AC47" i="107"/>
  <c r="X48" i="107"/>
  <c r="AG48" i="107"/>
  <c r="AF80" i="107"/>
  <c r="AH81" i="107"/>
  <c r="V83" i="107"/>
  <c r="AB87" i="107"/>
  <c r="AE88" i="107"/>
  <c r="AE89" i="107"/>
  <c r="AE90" i="107"/>
  <c r="AB94" i="107"/>
  <c r="AE96" i="107"/>
  <c r="V97" i="107"/>
  <c r="Z102" i="107"/>
  <c r="Q20" i="109"/>
  <c r="P20" i="109"/>
  <c r="K20" i="109"/>
  <c r="F20" i="109"/>
  <c r="R19" i="109"/>
  <c r="M19" i="109"/>
  <c r="H19" i="109"/>
  <c r="N18" i="109"/>
  <c r="H18" i="109"/>
  <c r="C18" i="109"/>
  <c r="P17" i="109"/>
  <c r="J17" i="109"/>
  <c r="E17" i="109"/>
  <c r="P15" i="109"/>
  <c r="F17" i="109"/>
  <c r="M17" i="109"/>
  <c r="D18" i="109"/>
  <c r="K18" i="109"/>
  <c r="R18" i="109"/>
  <c r="D19" i="109"/>
  <c r="J19" i="109"/>
  <c r="Q19" i="109"/>
  <c r="H20" i="109"/>
  <c r="O20" i="109"/>
  <c r="AI20" i="107"/>
  <c r="AF20" i="107"/>
  <c r="Z20" i="107"/>
  <c r="U20" i="107"/>
  <c r="AF19" i="107"/>
  <c r="Z19" i="107"/>
  <c r="U19" i="107"/>
  <c r="AF18" i="107"/>
  <c r="Z18" i="107"/>
  <c r="U18" i="107"/>
  <c r="AF17" i="107"/>
  <c r="Z17" i="107"/>
  <c r="U17" i="107"/>
  <c r="Y17" i="107"/>
  <c r="AG17" i="107"/>
  <c r="X18" i="107"/>
  <c r="AD18" i="107"/>
  <c r="V19" i="107"/>
  <c r="AC19" i="107"/>
  <c r="AJ19" i="107"/>
  <c r="AB20" i="107"/>
  <c r="AH20" i="107"/>
  <c r="AI69" i="107"/>
  <c r="AJ69" i="107"/>
  <c r="AD69" i="107"/>
  <c r="Y69" i="107"/>
  <c r="AJ68" i="107"/>
  <c r="AD68" i="107"/>
  <c r="Y68" i="107"/>
  <c r="AJ67" i="107"/>
  <c r="AD67" i="107"/>
  <c r="Y67" i="107"/>
  <c r="AJ66" i="107"/>
  <c r="AD66" i="107"/>
  <c r="Y66" i="107"/>
  <c r="AH64" i="107"/>
  <c r="Z66" i="107"/>
  <c r="AG66" i="107"/>
  <c r="X67" i="107"/>
  <c r="AF67" i="107"/>
  <c r="V68" i="107"/>
  <c r="AC68" i="107"/>
  <c r="U69" i="107"/>
  <c r="AB69" i="107"/>
  <c r="AH69" i="107"/>
  <c r="V73" i="107"/>
  <c r="AC73" i="107"/>
  <c r="AJ73" i="107"/>
  <c r="AB74" i="107"/>
  <c r="AH74" i="107"/>
  <c r="Y75" i="107"/>
  <c r="AG75" i="107"/>
  <c r="X76" i="107"/>
  <c r="I87" i="107"/>
  <c r="Q87" i="107"/>
  <c r="J88" i="107"/>
  <c r="Q88" i="107"/>
  <c r="D89" i="107"/>
  <c r="J89" i="107"/>
  <c r="Q89" i="107"/>
  <c r="D90" i="107"/>
  <c r="J90" i="107"/>
  <c r="O97" i="107"/>
  <c r="Q97" i="107"/>
  <c r="L97" i="107"/>
  <c r="F97" i="107"/>
  <c r="R96" i="107"/>
  <c r="M96" i="107"/>
  <c r="H96" i="107"/>
  <c r="N95" i="107"/>
  <c r="I95" i="107"/>
  <c r="D95" i="107"/>
  <c r="P94" i="107"/>
  <c r="J94" i="107"/>
  <c r="E94" i="107"/>
  <c r="P92" i="107"/>
  <c r="F94" i="107"/>
  <c r="M94" i="107"/>
  <c r="F95" i="107"/>
  <c r="M95" i="107"/>
  <c r="F96" i="107"/>
  <c r="N96" i="107"/>
  <c r="H97" i="107"/>
  <c r="N97" i="107"/>
  <c r="I101" i="107"/>
  <c r="Q101" i="107"/>
  <c r="J102" i="107"/>
  <c r="Q102" i="107"/>
  <c r="D103" i="107"/>
  <c r="J103" i="107"/>
  <c r="Q103" i="107"/>
  <c r="D104" i="107"/>
  <c r="J104" i="107"/>
  <c r="Q13" i="109"/>
  <c r="P13" i="109"/>
  <c r="K13" i="109"/>
  <c r="F13" i="109"/>
  <c r="P12" i="109"/>
  <c r="J12" i="109"/>
  <c r="E12" i="109"/>
  <c r="O11" i="109"/>
  <c r="J11" i="109"/>
  <c r="D11" i="109"/>
  <c r="P10" i="109"/>
  <c r="J10" i="109"/>
  <c r="E10" i="109"/>
  <c r="P8" i="109"/>
  <c r="F10" i="109"/>
  <c r="M10" i="109"/>
  <c r="V10" i="109"/>
  <c r="AF10" i="109"/>
  <c r="G11" i="109"/>
  <c r="N11" i="109"/>
  <c r="Y11" i="109"/>
  <c r="AH11" i="109"/>
  <c r="I12" i="109"/>
  <c r="Q12" i="109"/>
  <c r="AA12" i="109"/>
  <c r="D13" i="109"/>
  <c r="L13" i="109"/>
  <c r="U13" i="109"/>
  <c r="AG20" i="109"/>
  <c r="Z20" i="109"/>
  <c r="AD19" i="109"/>
  <c r="AG18" i="109"/>
  <c r="V18" i="109"/>
  <c r="Z17" i="109"/>
  <c r="AH20" i="109"/>
  <c r="X20" i="109"/>
  <c r="H17" i="109"/>
  <c r="N17" i="109"/>
  <c r="AB17" i="109"/>
  <c r="F18" i="109"/>
  <c r="L18" i="109"/>
  <c r="Y18" i="109"/>
  <c r="E19" i="109"/>
  <c r="L19" i="109"/>
  <c r="V19" i="109"/>
  <c r="C20" i="109"/>
  <c r="J20" i="109"/>
  <c r="R20" i="109"/>
  <c r="W24" i="109"/>
  <c r="AG25" i="109"/>
  <c r="Q34" i="109"/>
  <c r="O34" i="109"/>
  <c r="J34" i="109"/>
  <c r="D34" i="109"/>
  <c r="N33" i="109"/>
  <c r="I33" i="109"/>
  <c r="D33" i="109"/>
  <c r="O32" i="109"/>
  <c r="J32" i="109"/>
  <c r="D32" i="109"/>
  <c r="Q31" i="109"/>
  <c r="L31" i="109"/>
  <c r="F31" i="109"/>
  <c r="N34" i="109"/>
  <c r="H34" i="109"/>
  <c r="C34" i="109"/>
  <c r="R33" i="109"/>
  <c r="M33" i="109"/>
  <c r="H33" i="109"/>
  <c r="N32" i="109"/>
  <c r="H32" i="109"/>
  <c r="C32" i="109"/>
  <c r="P31" i="109"/>
  <c r="J31" i="109"/>
  <c r="E31" i="109"/>
  <c r="P29" i="109"/>
  <c r="H31" i="109"/>
  <c r="R31" i="109"/>
  <c r="L32" i="109"/>
  <c r="F33" i="109"/>
  <c r="Q33" i="109"/>
  <c r="G34" i="109"/>
  <c r="R34" i="109"/>
  <c r="Q48" i="109"/>
  <c r="O48" i="109"/>
  <c r="J48" i="109"/>
  <c r="D48" i="109"/>
  <c r="R47" i="109"/>
  <c r="M47" i="109"/>
  <c r="H47" i="109"/>
  <c r="N46" i="109"/>
  <c r="H46" i="109"/>
  <c r="C46" i="109"/>
  <c r="R45" i="109"/>
  <c r="M45" i="109"/>
  <c r="H45" i="109"/>
  <c r="R48" i="109"/>
  <c r="K48" i="109"/>
  <c r="C48" i="109"/>
  <c r="P47" i="109"/>
  <c r="I47" i="109"/>
  <c r="P46" i="109"/>
  <c r="J46" i="109"/>
  <c r="P45" i="109"/>
  <c r="I45" i="109"/>
  <c r="P48" i="109"/>
  <c r="H48" i="109"/>
  <c r="N47" i="109"/>
  <c r="F47" i="109"/>
  <c r="O46" i="109"/>
  <c r="G46" i="109"/>
  <c r="N45" i="109"/>
  <c r="F45" i="109"/>
  <c r="P43" i="109"/>
  <c r="J45" i="109"/>
  <c r="L46" i="109"/>
  <c r="D47" i="109"/>
  <c r="Q47" i="109"/>
  <c r="G48" i="109"/>
  <c r="Q55" i="109"/>
  <c r="N55" i="109"/>
  <c r="H55" i="109"/>
  <c r="C55" i="109"/>
  <c r="N54" i="109"/>
  <c r="I54" i="109"/>
  <c r="D54" i="109"/>
  <c r="N53" i="109"/>
  <c r="H53" i="109"/>
  <c r="C53" i="109"/>
  <c r="N52" i="109"/>
  <c r="I52" i="109"/>
  <c r="D52" i="109"/>
  <c r="R55" i="109"/>
  <c r="K55" i="109"/>
  <c r="D55" i="109"/>
  <c r="M54" i="109"/>
  <c r="F54" i="109"/>
  <c r="O53" i="109"/>
  <c r="G53" i="109"/>
  <c r="Q52" i="109"/>
  <c r="J52" i="109"/>
  <c r="P55" i="109"/>
  <c r="J55" i="109"/>
  <c r="R54" i="109"/>
  <c r="L54" i="109"/>
  <c r="E54" i="109"/>
  <c r="L53" i="109"/>
  <c r="F53" i="109"/>
  <c r="P52" i="109"/>
  <c r="H52" i="109"/>
  <c r="P50" i="109"/>
  <c r="L52" i="109"/>
  <c r="J53" i="109"/>
  <c r="H54" i="109"/>
  <c r="F55" i="109"/>
  <c r="Q76" i="109"/>
  <c r="R76" i="109"/>
  <c r="L76" i="109"/>
  <c r="G76" i="109"/>
  <c r="R75" i="109"/>
  <c r="M75" i="109"/>
  <c r="H75" i="109"/>
  <c r="R74" i="109"/>
  <c r="L74" i="109"/>
  <c r="G74" i="109"/>
  <c r="R73" i="109"/>
  <c r="M73" i="109"/>
  <c r="H73" i="109"/>
  <c r="P76" i="109"/>
  <c r="J76" i="109"/>
  <c r="C76" i="109"/>
  <c r="L75" i="109"/>
  <c r="E75" i="109"/>
  <c r="N74" i="109"/>
  <c r="F74" i="109"/>
  <c r="P73" i="109"/>
  <c r="I73" i="109"/>
  <c r="O76" i="109"/>
  <c r="H76" i="109"/>
  <c r="Q75" i="109"/>
  <c r="J75" i="109"/>
  <c r="D75" i="109"/>
  <c r="K74" i="109"/>
  <c r="D74" i="109"/>
  <c r="N73" i="109"/>
  <c r="F73" i="109"/>
  <c r="P71" i="109"/>
  <c r="J73" i="109"/>
  <c r="H74" i="109"/>
  <c r="F75" i="109"/>
  <c r="D76" i="109"/>
  <c r="Q83" i="109"/>
  <c r="N83" i="109"/>
  <c r="H83" i="109"/>
  <c r="C83" i="109"/>
  <c r="N82" i="109"/>
  <c r="I82" i="109"/>
  <c r="D82" i="109"/>
  <c r="N81" i="109"/>
  <c r="H81" i="109"/>
  <c r="C81" i="109"/>
  <c r="N80" i="109"/>
  <c r="I80" i="109"/>
  <c r="D80" i="109"/>
  <c r="L83" i="109"/>
  <c r="F83" i="109"/>
  <c r="P82" i="109"/>
  <c r="H82" i="109"/>
  <c r="P81" i="109"/>
  <c r="J81" i="109"/>
  <c r="R80" i="109"/>
  <c r="L80" i="109"/>
  <c r="E80" i="109"/>
  <c r="R83" i="109"/>
  <c r="K83" i="109"/>
  <c r="D83" i="109"/>
  <c r="M82" i="109"/>
  <c r="F82" i="109"/>
  <c r="O81" i="109"/>
  <c r="G81" i="109"/>
  <c r="Q80" i="109"/>
  <c r="J80" i="109"/>
  <c r="H80" i="109"/>
  <c r="F81" i="109"/>
  <c r="E82" i="109"/>
  <c r="R82" i="109"/>
  <c r="P83" i="109"/>
  <c r="AF13" i="109"/>
  <c r="X13" i="109"/>
  <c r="AE12" i="109"/>
  <c r="X12" i="109"/>
  <c r="AD11" i="109"/>
  <c r="X11" i="109"/>
  <c r="AE10" i="109"/>
  <c r="W10" i="109"/>
  <c r="Z10" i="109"/>
  <c r="AH10" i="109"/>
  <c r="AB11" i="109"/>
  <c r="AD12" i="109"/>
  <c r="V13" i="109"/>
  <c r="AG13" i="109"/>
  <c r="I17" i="109"/>
  <c r="Q17" i="109"/>
  <c r="G18" i="109"/>
  <c r="O18" i="109"/>
  <c r="F19" i="109"/>
  <c r="N19" i="109"/>
  <c r="D20" i="109"/>
  <c r="L20" i="109"/>
  <c r="AG41" i="109"/>
  <c r="AE40" i="109"/>
  <c r="W40" i="109"/>
  <c r="AD38" i="109"/>
  <c r="X39" i="109"/>
  <c r="AI76" i="107"/>
  <c r="AF76" i="107"/>
  <c r="Z76" i="107"/>
  <c r="U76" i="107"/>
  <c r="AF75" i="107"/>
  <c r="Z75" i="107"/>
  <c r="U75" i="107"/>
  <c r="AF74" i="107"/>
  <c r="Z74" i="107"/>
  <c r="U74" i="107"/>
  <c r="AF73" i="107"/>
  <c r="Z73" i="107"/>
  <c r="U73" i="107"/>
  <c r="Y73" i="107"/>
  <c r="AG73" i="107"/>
  <c r="X74" i="107"/>
  <c r="AD74" i="107"/>
  <c r="V75" i="107"/>
  <c r="AC75" i="107"/>
  <c r="AJ75" i="107"/>
  <c r="AB76" i="107"/>
  <c r="AH76" i="107"/>
  <c r="O90" i="107"/>
  <c r="Q90" i="107"/>
  <c r="L90" i="107"/>
  <c r="F90" i="107"/>
  <c r="R89" i="107"/>
  <c r="M89" i="107"/>
  <c r="H89" i="107"/>
  <c r="N88" i="107"/>
  <c r="I88" i="107"/>
  <c r="D88" i="107"/>
  <c r="P87" i="107"/>
  <c r="J87" i="107"/>
  <c r="E87" i="107"/>
  <c r="P85" i="107"/>
  <c r="F87" i="107"/>
  <c r="M87" i="107"/>
  <c r="F88" i="107"/>
  <c r="M88" i="107"/>
  <c r="F89" i="107"/>
  <c r="N89" i="107"/>
  <c r="H90" i="107"/>
  <c r="N90" i="107"/>
  <c r="O104" i="107"/>
  <c r="Q104" i="107"/>
  <c r="L104" i="107"/>
  <c r="F104" i="107"/>
  <c r="R103" i="107"/>
  <c r="M103" i="107"/>
  <c r="H103" i="107"/>
  <c r="N102" i="107"/>
  <c r="I102" i="107"/>
  <c r="D102" i="107"/>
  <c r="P101" i="107"/>
  <c r="J101" i="107"/>
  <c r="E101" i="107"/>
  <c r="P99" i="107"/>
  <c r="F101" i="107"/>
  <c r="M101" i="107"/>
  <c r="F102" i="107"/>
  <c r="M102" i="107"/>
  <c r="F103" i="107"/>
  <c r="N103" i="107"/>
  <c r="H104" i="107"/>
  <c r="N104" i="107"/>
  <c r="AF8" i="109"/>
  <c r="AA10" i="109"/>
  <c r="AC11" i="109"/>
  <c r="V12" i="109"/>
  <c r="AF12" i="109"/>
  <c r="Z13" i="109"/>
  <c r="AH13" i="109"/>
  <c r="D17" i="109"/>
  <c r="L17" i="109"/>
  <c r="R17" i="109"/>
  <c r="J18" i="109"/>
  <c r="P18" i="109"/>
  <c r="I19" i="109"/>
  <c r="P19" i="109"/>
  <c r="G20" i="109"/>
  <c r="N20" i="109"/>
  <c r="AD27" i="109"/>
  <c r="AF26" i="109"/>
  <c r="V26" i="109"/>
  <c r="AC25" i="109"/>
  <c r="V25" i="109"/>
  <c r="AB24" i="109"/>
  <c r="V24" i="109"/>
  <c r="AB27" i="109"/>
  <c r="AD26" i="109"/>
  <c r="AH25" i="109"/>
  <c r="AB25" i="109"/>
  <c r="AH24" i="109"/>
  <c r="AA24" i="109"/>
  <c r="AF22" i="109"/>
  <c r="AE24" i="109"/>
  <c r="Y25" i="109"/>
  <c r="X26" i="109"/>
  <c r="X27" i="109"/>
  <c r="AD39" i="109"/>
  <c r="Q41" i="109"/>
  <c r="R41" i="109"/>
  <c r="L41" i="109"/>
  <c r="G41" i="109"/>
  <c r="P40" i="109"/>
  <c r="J40" i="109"/>
  <c r="E40" i="109"/>
  <c r="R39" i="109"/>
  <c r="L39" i="109"/>
  <c r="G39" i="109"/>
  <c r="E38" i="109"/>
  <c r="J38" i="109"/>
  <c r="P38" i="109"/>
  <c r="H39" i="109"/>
  <c r="O39" i="109"/>
  <c r="D40" i="109"/>
  <c r="L40" i="109"/>
  <c r="R40" i="109"/>
  <c r="F41" i="109"/>
  <c r="N41" i="109"/>
  <c r="Q97" i="109"/>
  <c r="R97" i="109"/>
  <c r="L97" i="109"/>
  <c r="G97" i="109"/>
  <c r="R96" i="109"/>
  <c r="M96" i="109"/>
  <c r="H96" i="109"/>
  <c r="R95" i="109"/>
  <c r="L95" i="109"/>
  <c r="G95" i="109"/>
  <c r="Q94" i="109"/>
  <c r="L94" i="109"/>
  <c r="F94" i="109"/>
  <c r="P92" i="109"/>
  <c r="H94" i="109"/>
  <c r="N94" i="109"/>
  <c r="H95" i="109"/>
  <c r="O95" i="109"/>
  <c r="F96" i="109"/>
  <c r="N96" i="109"/>
  <c r="D97" i="109"/>
  <c r="K97" i="109"/>
  <c r="N104" i="109"/>
  <c r="G104" i="109"/>
  <c r="Q103" i="109"/>
  <c r="I103" i="109"/>
  <c r="R102" i="109"/>
  <c r="K102" i="109"/>
  <c r="D102" i="109"/>
  <c r="O101" i="109"/>
  <c r="J101" i="109"/>
  <c r="D101" i="109"/>
  <c r="G101" i="109"/>
  <c r="N101" i="109"/>
  <c r="F102" i="109"/>
  <c r="N102" i="109"/>
  <c r="G103" i="109"/>
  <c r="R103" i="109"/>
  <c r="K104" i="109"/>
  <c r="P15" i="108" a="1"/>
  <c r="P15" i="108" s="1"/>
  <c r="D17" i="108"/>
  <c r="Q17" i="108"/>
  <c r="I18" i="108"/>
  <c r="N19" i="108"/>
  <c r="F20" i="108"/>
  <c r="P20" i="108"/>
  <c r="AH27" i="108"/>
  <c r="AG27" i="108"/>
  <c r="AB27" i="108"/>
  <c r="W27" i="108"/>
  <c r="AF26" i="108"/>
  <c r="AA26" i="108"/>
  <c r="U26" i="108"/>
  <c r="AI25" i="108"/>
  <c r="AC25" i="108"/>
  <c r="X25" i="108"/>
  <c r="AG24" i="108"/>
  <c r="AB24" i="108"/>
  <c r="W24" i="108"/>
  <c r="I24" i="108"/>
  <c r="U24" i="108"/>
  <c r="AC24" i="108"/>
  <c r="AJ24" i="108"/>
  <c r="N25" i="108"/>
  <c r="Y25" i="108"/>
  <c r="AF25" i="108"/>
  <c r="G26" i="108"/>
  <c r="W26" i="108"/>
  <c r="AC26" i="108"/>
  <c r="AJ26" i="108"/>
  <c r="N27" i="108"/>
  <c r="Y27" i="108"/>
  <c r="AF27" i="108"/>
  <c r="AH34" i="108"/>
  <c r="W34" i="108"/>
  <c r="AG33" i="108"/>
  <c r="W33" i="108"/>
  <c r="AD32" i="108"/>
  <c r="V32" i="108"/>
  <c r="AD31" i="108"/>
  <c r="K31" i="108"/>
  <c r="AA31" i="108"/>
  <c r="K32" i="108"/>
  <c r="AA32" i="108"/>
  <c r="D33" i="108"/>
  <c r="Y33" i="108"/>
  <c r="D34" i="108"/>
  <c r="V34" i="108"/>
  <c r="AI34" i="108"/>
  <c r="U38" i="108"/>
  <c r="AB38" i="108"/>
  <c r="AI38" i="108"/>
  <c r="U39" i="108"/>
  <c r="AB39" i="108"/>
  <c r="AJ39" i="108"/>
  <c r="X40" i="108"/>
  <c r="AI40" i="108"/>
  <c r="X41" i="108"/>
  <c r="AI41" i="108"/>
  <c r="K47" i="108"/>
  <c r="Q53" i="108"/>
  <c r="C54" i="108"/>
  <c r="AH57" i="108" a="1"/>
  <c r="AH57" i="108" s="1"/>
  <c r="AC59" i="108"/>
  <c r="U60" i="108"/>
  <c r="AE60" i="108"/>
  <c r="X61" i="108"/>
  <c r="AF61" i="108"/>
  <c r="W62" i="108"/>
  <c r="AG62" i="108"/>
  <c r="D66" i="108"/>
  <c r="Z66" i="108"/>
  <c r="O67" i="108"/>
  <c r="AI67" i="108"/>
  <c r="Z68" i="108"/>
  <c r="O69" i="108"/>
  <c r="AE69" i="108"/>
  <c r="H80" i="108" a="1"/>
  <c r="H80" i="108" s="1"/>
  <c r="M80" i="108" a="1"/>
  <c r="M80" i="108" s="1"/>
  <c r="H81" i="108" a="1"/>
  <c r="H81" i="108" s="1"/>
  <c r="M81" i="108" a="1"/>
  <c r="M81" i="108" s="1"/>
  <c r="H82" i="108" a="1"/>
  <c r="H82" i="108" s="1"/>
  <c r="M82" i="108" a="1"/>
  <c r="M82" i="108" s="1"/>
  <c r="P90" i="108" a="1"/>
  <c r="P90" i="108" s="1"/>
  <c r="L90" i="108" a="1"/>
  <c r="L90" i="108" s="1"/>
  <c r="H90" i="108" a="1"/>
  <c r="H90" i="108" s="1"/>
  <c r="D90" i="108" a="1"/>
  <c r="D90" i="108" s="1"/>
  <c r="P89" i="108" a="1"/>
  <c r="P89" i="108" s="1"/>
  <c r="L89" i="108" a="1"/>
  <c r="L89" i="108" s="1"/>
  <c r="H89" i="108" a="1"/>
  <c r="H89" i="108" s="1"/>
  <c r="D89" i="108" a="1"/>
  <c r="D89" i="108" s="1"/>
  <c r="N88" i="108" a="1"/>
  <c r="N88" i="108" s="1"/>
  <c r="K88" i="108" a="1"/>
  <c r="K88" i="108" s="1"/>
  <c r="F88" i="108" a="1"/>
  <c r="F88" i="108" s="1"/>
  <c r="C88" i="108" a="1"/>
  <c r="C88" i="108" s="1"/>
  <c r="N87" i="108" a="1"/>
  <c r="N87" i="108" s="1"/>
  <c r="K87" i="108" a="1"/>
  <c r="K87" i="108" s="1"/>
  <c r="F87" i="108" a="1"/>
  <c r="F87" i="108" s="1"/>
  <c r="C87" i="108" a="1"/>
  <c r="C87" i="108" s="1"/>
  <c r="N90" i="108" a="1"/>
  <c r="N90" i="108" s="1"/>
  <c r="I90" i="108" a="1"/>
  <c r="I90" i="108" s="1"/>
  <c r="C90" i="108" a="1"/>
  <c r="C90" i="108" s="1"/>
  <c r="N89" i="108" a="1"/>
  <c r="N89" i="108" s="1"/>
  <c r="I89" i="108" a="1"/>
  <c r="I89" i="108" s="1"/>
  <c r="C89" i="108" a="1"/>
  <c r="C89" i="108" s="1"/>
  <c r="O88" i="108" a="1"/>
  <c r="O88" i="108" s="1"/>
  <c r="L88" i="108" a="1"/>
  <c r="L88" i="108" s="1"/>
  <c r="H88" i="108" a="1"/>
  <c r="H88" i="108" s="1"/>
  <c r="O90" i="108" a="1"/>
  <c r="O90" i="108" s="1"/>
  <c r="G90" i="108" a="1"/>
  <c r="G90" i="108" s="1"/>
  <c r="Q89" i="108" a="1"/>
  <c r="Q89" i="108" s="1"/>
  <c r="J89" i="108" a="1"/>
  <c r="J89" i="108" s="1"/>
  <c r="R88" i="108" a="1"/>
  <c r="R88" i="108" s="1"/>
  <c r="M88" i="108" a="1"/>
  <c r="M88" i="108" s="1"/>
  <c r="I88" i="108" a="1"/>
  <c r="I88" i="108" s="1"/>
  <c r="D88" i="108" a="1"/>
  <c r="D88" i="108" s="1"/>
  <c r="O87" i="108" a="1"/>
  <c r="O87" i="108" s="1"/>
  <c r="L87" i="108" a="1"/>
  <c r="L87" i="108" s="1"/>
  <c r="H87" i="108" a="1"/>
  <c r="H87" i="108" s="1"/>
  <c r="M90" i="108" a="1"/>
  <c r="M90" i="108" s="1"/>
  <c r="F90" i="108" a="1"/>
  <c r="F90" i="108" s="1"/>
  <c r="O89" i="108" a="1"/>
  <c r="O89" i="108" s="1"/>
  <c r="G89" i="108" a="1"/>
  <c r="G89" i="108" s="1"/>
  <c r="Q88" i="108" a="1"/>
  <c r="Q88" i="108" s="1"/>
  <c r="G88" i="108" a="1"/>
  <c r="G88" i="108" s="1"/>
  <c r="R87" i="108" a="1"/>
  <c r="R87" i="108" s="1"/>
  <c r="G87" i="108" a="1"/>
  <c r="G87" i="108" s="1"/>
  <c r="D87" i="108" a="1"/>
  <c r="D87" i="108" s="1"/>
  <c r="R90" i="108" a="1"/>
  <c r="R90" i="108" s="1"/>
  <c r="K90" i="108" a="1"/>
  <c r="K90" i="108" s="1"/>
  <c r="E90" i="108" a="1"/>
  <c r="E90" i="108" s="1"/>
  <c r="M89" i="108" a="1"/>
  <c r="M89" i="108" s="1"/>
  <c r="F89" i="108" a="1"/>
  <c r="F89" i="108" s="1"/>
  <c r="P88" i="108" a="1"/>
  <c r="P88" i="108" s="1"/>
  <c r="Q87" i="108" a="1"/>
  <c r="Q87" i="108" s="1"/>
  <c r="M87" i="108" a="1"/>
  <c r="M87" i="108" s="1"/>
  <c r="J87" i="108" a="1"/>
  <c r="J87" i="108" s="1"/>
  <c r="P85" i="108" a="1"/>
  <c r="P85" i="108" s="1"/>
  <c r="I87" i="108" a="1"/>
  <c r="I87" i="108" s="1"/>
  <c r="E88" i="108" a="1"/>
  <c r="E88" i="108" s="1"/>
  <c r="J90" i="108" a="1"/>
  <c r="J90" i="108" s="1"/>
  <c r="X31" i="107"/>
  <c r="AC31" i="107"/>
  <c r="AH31" i="107"/>
  <c r="X32" i="107"/>
  <c r="AC32" i="107"/>
  <c r="AH32" i="107"/>
  <c r="X33" i="107"/>
  <c r="AC33" i="107"/>
  <c r="AH33" i="107"/>
  <c r="X34" i="107"/>
  <c r="AC34" i="107"/>
  <c r="AH34" i="107"/>
  <c r="X59" i="107"/>
  <c r="AC59" i="107"/>
  <c r="AH59" i="107"/>
  <c r="X60" i="107"/>
  <c r="AC60" i="107"/>
  <c r="AH60" i="107"/>
  <c r="X61" i="107"/>
  <c r="AC61" i="107"/>
  <c r="AH61" i="107"/>
  <c r="X62" i="107"/>
  <c r="AC62" i="107"/>
  <c r="AH62" i="107"/>
  <c r="D24" i="109"/>
  <c r="I24" i="109"/>
  <c r="N24" i="109"/>
  <c r="C25" i="109"/>
  <c r="H25" i="109"/>
  <c r="N25" i="109"/>
  <c r="D26" i="109"/>
  <c r="I26" i="109"/>
  <c r="N26" i="109"/>
  <c r="G27" i="109"/>
  <c r="L27" i="109"/>
  <c r="R27" i="109"/>
  <c r="AA31" i="109"/>
  <c r="X32" i="109"/>
  <c r="X33" i="109"/>
  <c r="P36" i="109"/>
  <c r="F38" i="109"/>
  <c r="L38" i="109"/>
  <c r="Q38" i="109"/>
  <c r="C39" i="109"/>
  <c r="J39" i="109"/>
  <c r="P39" i="109"/>
  <c r="F40" i="109"/>
  <c r="M40" i="109"/>
  <c r="H41" i="109"/>
  <c r="O41" i="109"/>
  <c r="AD48" i="109"/>
  <c r="AF48" i="109"/>
  <c r="AH46" i="109"/>
  <c r="U46" i="109"/>
  <c r="AF43" i="109"/>
  <c r="AE45" i="109"/>
  <c r="AF46" i="109"/>
  <c r="Q69" i="109"/>
  <c r="P69" i="109"/>
  <c r="K69" i="109"/>
  <c r="F69" i="109"/>
  <c r="Q68" i="109"/>
  <c r="L68" i="109"/>
  <c r="F68" i="109"/>
  <c r="P67" i="109"/>
  <c r="K67" i="109"/>
  <c r="F67" i="109"/>
  <c r="Q66" i="109"/>
  <c r="L66" i="109"/>
  <c r="F66" i="109"/>
  <c r="P64" i="109"/>
  <c r="H66" i="109"/>
  <c r="N66" i="109"/>
  <c r="D67" i="109"/>
  <c r="L67" i="109"/>
  <c r="D68" i="109"/>
  <c r="J68" i="109"/>
  <c r="R68" i="109"/>
  <c r="H69" i="109"/>
  <c r="O69" i="109"/>
  <c r="AH97" i="109"/>
  <c r="AF94" i="109"/>
  <c r="I94" i="109"/>
  <c r="P94" i="109"/>
  <c r="C95" i="109"/>
  <c r="J95" i="109"/>
  <c r="P95" i="109"/>
  <c r="I96" i="109"/>
  <c r="P96" i="109"/>
  <c r="F97" i="109"/>
  <c r="N97" i="109"/>
  <c r="P99" i="109"/>
  <c r="H101" i="109"/>
  <c r="P101" i="109"/>
  <c r="G102" i="109"/>
  <c r="Q102" i="109"/>
  <c r="K103" i="109"/>
  <c r="C104" i="109"/>
  <c r="M104" i="109"/>
  <c r="G17" i="108"/>
  <c r="J18" i="108"/>
  <c r="C19" i="108"/>
  <c r="Q19" i="108"/>
  <c r="G20" i="108"/>
  <c r="K24" i="108"/>
  <c r="X24" i="108"/>
  <c r="AE24" i="108"/>
  <c r="C25" i="108"/>
  <c r="R25" i="108"/>
  <c r="AA25" i="108"/>
  <c r="AG25" i="108"/>
  <c r="M26" i="108"/>
  <c r="X26" i="108"/>
  <c r="AE26" i="108"/>
  <c r="F27" i="108"/>
  <c r="AA27" i="108"/>
  <c r="AI27" i="108"/>
  <c r="O31" i="108"/>
  <c r="AG31" i="108"/>
  <c r="O32" i="108"/>
  <c r="AC32" i="108"/>
  <c r="K33" i="108"/>
  <c r="AA33" i="108"/>
  <c r="G34" i="108"/>
  <c r="AA34" i="108"/>
  <c r="R41" i="108"/>
  <c r="J41" i="108"/>
  <c r="C41" i="108"/>
  <c r="M40" i="108"/>
  <c r="O41" i="108"/>
  <c r="G41" i="108"/>
  <c r="O40" i="108"/>
  <c r="G40" i="108"/>
  <c r="O39" i="108"/>
  <c r="I39" i="108"/>
  <c r="R38" i="108"/>
  <c r="J38" i="108"/>
  <c r="C38" i="108"/>
  <c r="P36" i="108" a="1"/>
  <c r="P36" i="108" s="1"/>
  <c r="AH36" i="108" a="1"/>
  <c r="AH36" i="108" s="1"/>
  <c r="M38" i="108"/>
  <c r="W38" i="108"/>
  <c r="AC38" i="108"/>
  <c r="C39" i="108"/>
  <c r="M39" i="108"/>
  <c r="W39" i="108"/>
  <c r="AE39" i="108"/>
  <c r="C40" i="108"/>
  <c r="N40" i="108"/>
  <c r="AB40" i="108"/>
  <c r="AJ40" i="108"/>
  <c r="N41" i="108"/>
  <c r="AB41" i="108"/>
  <c r="O48" i="108"/>
  <c r="P48" i="108"/>
  <c r="E48" i="108"/>
  <c r="M47" i="108"/>
  <c r="C47" i="108"/>
  <c r="K46" i="108"/>
  <c r="H45" i="108"/>
  <c r="C48" i="108"/>
  <c r="P47" i="108"/>
  <c r="M46" i="108"/>
  <c r="K45" i="108"/>
  <c r="C45" i="108"/>
  <c r="C46" i="108"/>
  <c r="M48" i="108"/>
  <c r="Q54" i="108"/>
  <c r="W59" i="108"/>
  <c r="AF59" i="108"/>
  <c r="W60" i="108"/>
  <c r="AG60" i="108"/>
  <c r="Y61" i="108"/>
  <c r="AI61" i="108"/>
  <c r="AA62" i="108"/>
  <c r="H66" i="108"/>
  <c r="AG66" i="108"/>
  <c r="V67" i="108"/>
  <c r="AE68" i="108"/>
  <c r="U69" i="108"/>
  <c r="M76" i="108"/>
  <c r="R76" i="108"/>
  <c r="E76" i="108"/>
  <c r="F75" i="108"/>
  <c r="G74" i="108"/>
  <c r="J73" i="108"/>
  <c r="K76" i="108"/>
  <c r="J75" i="108"/>
  <c r="E74" i="108"/>
  <c r="G76" i="108"/>
  <c r="K74" i="108"/>
  <c r="R83" i="108" a="1"/>
  <c r="R83" i="108" s="1"/>
  <c r="O83" i="108" a="1"/>
  <c r="O83" i="108" s="1"/>
  <c r="J83" i="108" a="1"/>
  <c r="J83" i="108" s="1"/>
  <c r="G83" i="108" a="1"/>
  <c r="G83" i="108" s="1"/>
  <c r="Q83" i="108" a="1"/>
  <c r="Q83" i="108" s="1"/>
  <c r="L83" i="108" a="1"/>
  <c r="L83" i="108" s="1"/>
  <c r="I83" i="108" a="1"/>
  <c r="I83" i="108" s="1"/>
  <c r="D83" i="108" a="1"/>
  <c r="D83" i="108" s="1"/>
  <c r="Q82" i="108" a="1"/>
  <c r="Q82" i="108" s="1"/>
  <c r="L82" i="108" a="1"/>
  <c r="L82" i="108" s="1"/>
  <c r="I82" i="108" a="1"/>
  <c r="I82" i="108" s="1"/>
  <c r="D82" i="108" a="1"/>
  <c r="D82" i="108" s="1"/>
  <c r="Q81" i="108" a="1"/>
  <c r="Q81" i="108" s="1"/>
  <c r="L81" i="108" a="1"/>
  <c r="L81" i="108" s="1"/>
  <c r="I81" i="108" a="1"/>
  <c r="I81" i="108" s="1"/>
  <c r="D81" i="108" a="1"/>
  <c r="D81" i="108" s="1"/>
  <c r="Q80" i="108" a="1"/>
  <c r="Q80" i="108" s="1"/>
  <c r="L80" i="108" a="1"/>
  <c r="L80" i="108" s="1"/>
  <c r="I80" i="108" a="1"/>
  <c r="I80" i="108" s="1"/>
  <c r="D80" i="108" a="1"/>
  <c r="D80" i="108" s="1"/>
  <c r="N83" i="108" a="1"/>
  <c r="N83" i="108" s="1"/>
  <c r="K83" i="108" a="1"/>
  <c r="K83" i="108" s="1"/>
  <c r="F83" i="108" a="1"/>
  <c r="F83" i="108" s="1"/>
  <c r="C83" i="108" a="1"/>
  <c r="C83" i="108" s="1"/>
  <c r="N82" i="108" a="1"/>
  <c r="N82" i="108" s="1"/>
  <c r="K82" i="108" a="1"/>
  <c r="K82" i="108" s="1"/>
  <c r="F82" i="108" a="1"/>
  <c r="F82" i="108" s="1"/>
  <c r="C82" i="108" a="1"/>
  <c r="C82" i="108" s="1"/>
  <c r="N81" i="108" a="1"/>
  <c r="N81" i="108" s="1"/>
  <c r="K81" i="108" a="1"/>
  <c r="K81" i="108" s="1"/>
  <c r="F81" i="108" a="1"/>
  <c r="F81" i="108" s="1"/>
  <c r="C81" i="108" a="1"/>
  <c r="C81" i="108" s="1"/>
  <c r="N80" i="108" a="1"/>
  <c r="N80" i="108" s="1"/>
  <c r="K80" i="108" a="1"/>
  <c r="K80" i="108" s="1"/>
  <c r="F80" i="108" a="1"/>
  <c r="F80" i="108" s="1"/>
  <c r="C80" i="108" a="1"/>
  <c r="C80" i="108" s="1"/>
  <c r="P78" i="108" a="1"/>
  <c r="P78" i="108" s="1"/>
  <c r="J80" i="108" a="1"/>
  <c r="J80" i="108" s="1"/>
  <c r="O80" i="108" a="1"/>
  <c r="O80" i="108" s="1"/>
  <c r="J81" i="108" a="1"/>
  <c r="J81" i="108" s="1"/>
  <c r="O81" i="108" a="1"/>
  <c r="O81" i="108" s="1"/>
  <c r="J82" i="108" a="1"/>
  <c r="J82" i="108" s="1"/>
  <c r="O82" i="108" a="1"/>
  <c r="O82" i="108" s="1"/>
  <c r="E83" i="108" a="1"/>
  <c r="E83" i="108" s="1"/>
  <c r="P83" i="108" a="1"/>
  <c r="P83" i="108" s="1"/>
  <c r="J88" i="108" a="1"/>
  <c r="J88" i="108" s="1"/>
  <c r="E89" i="108" a="1"/>
  <c r="E89" i="108" s="1"/>
  <c r="Q90" i="108" a="1"/>
  <c r="Q90" i="108" s="1"/>
  <c r="K17" i="108"/>
  <c r="P18" i="108"/>
  <c r="G19" i="108"/>
  <c r="R19" i="108"/>
  <c r="M27" i="108"/>
  <c r="C27" i="108"/>
  <c r="I26" i="108"/>
  <c r="Q25" i="108"/>
  <c r="G25" i="108"/>
  <c r="M24" i="108"/>
  <c r="C24" i="108"/>
  <c r="P22" i="108" a="1"/>
  <c r="P22" i="108" s="1"/>
  <c r="Q24" i="108"/>
  <c r="I25" i="108"/>
  <c r="N26" i="108"/>
  <c r="G27" i="108"/>
  <c r="Q32" i="108"/>
  <c r="O33" i="108"/>
  <c r="X38" i="108"/>
  <c r="AF38" i="108"/>
  <c r="Y39" i="108"/>
  <c r="AF39" i="108"/>
  <c r="AC40" i="108"/>
  <c r="U41" i="108"/>
  <c r="AH62" i="108"/>
  <c r="AJ62" i="108"/>
  <c r="AE62" i="108"/>
  <c r="Y62" i="108"/>
  <c r="AG61" i="108"/>
  <c r="AB61" i="108"/>
  <c r="W61" i="108"/>
  <c r="AI60" i="108"/>
  <c r="AC60" i="108"/>
  <c r="X60" i="108"/>
  <c r="AJ59" i="108"/>
  <c r="AE59" i="108"/>
  <c r="Y59" i="108"/>
  <c r="AF62" i="108"/>
  <c r="X62" i="108"/>
  <c r="AJ61" i="108"/>
  <c r="AC61" i="108"/>
  <c r="U61" i="108"/>
  <c r="AF60" i="108"/>
  <c r="Y60" i="108"/>
  <c r="AI59" i="108"/>
  <c r="AB59" i="108"/>
  <c r="U59" i="108"/>
  <c r="X59" i="108"/>
  <c r="AG59" i="108"/>
  <c r="AA60" i="108"/>
  <c r="AJ60" i="108"/>
  <c r="AA61" i="108"/>
  <c r="AB62" i="108"/>
  <c r="Q69" i="108"/>
  <c r="L69" i="108"/>
  <c r="H68" i="108"/>
  <c r="D67" i="108"/>
  <c r="O66" i="108"/>
  <c r="H69" i="108"/>
  <c r="L68" i="108"/>
  <c r="L67" i="108"/>
  <c r="L66" i="108"/>
  <c r="P64" i="108" a="1"/>
  <c r="P64" i="108" s="1"/>
  <c r="U66" i="108"/>
  <c r="AI66" i="108"/>
  <c r="Y67" i="108"/>
  <c r="O68" i="108"/>
  <c r="AI68" i="108"/>
  <c r="O76" i="108"/>
  <c r="E81" i="108" a="1"/>
  <c r="E81" i="108" s="1"/>
  <c r="P81" i="108" a="1"/>
  <c r="P81" i="108" s="1"/>
  <c r="E82" i="108" a="1"/>
  <c r="E82" i="108" s="1"/>
  <c r="P82" i="108" a="1"/>
  <c r="P82" i="108" s="1"/>
  <c r="H83" i="108" a="1"/>
  <c r="H83" i="108" s="1"/>
  <c r="P87" i="108" a="1"/>
  <c r="P87" i="108" s="1"/>
  <c r="K89" i="108" a="1"/>
  <c r="K89" i="108" s="1"/>
  <c r="J20" i="108"/>
  <c r="K19" i="108"/>
  <c r="M18" i="108"/>
  <c r="D18" i="108"/>
  <c r="O17" i="108"/>
  <c r="E17" i="108"/>
  <c r="L17" i="108"/>
  <c r="E18" i="108"/>
  <c r="R18" i="108"/>
  <c r="I19" i="108"/>
  <c r="O20" i="108"/>
  <c r="K27" i="108"/>
  <c r="K34" i="108"/>
  <c r="G33" i="108"/>
  <c r="G32" i="108"/>
  <c r="Q31" i="108"/>
  <c r="D31" i="108"/>
  <c r="P29" i="108" a="1"/>
  <c r="P29" i="108" s="1"/>
  <c r="G31" i="108"/>
  <c r="D32" i="108"/>
  <c r="Q33" i="108"/>
  <c r="Q34" i="108"/>
  <c r="AH41" i="108"/>
  <c r="AJ41" i="108"/>
  <c r="AE41" i="108"/>
  <c r="Y41" i="108"/>
  <c r="AF40" i="108"/>
  <c r="AA40" i="108"/>
  <c r="U40" i="108"/>
  <c r="AG41" i="108"/>
  <c r="AA41" i="108"/>
  <c r="AG40" i="108"/>
  <c r="Y40" i="108"/>
  <c r="AI39" i="108"/>
  <c r="AC39" i="108"/>
  <c r="X39" i="108"/>
  <c r="AJ38" i="108"/>
  <c r="AE38" i="108"/>
  <c r="Y38" i="108"/>
  <c r="AA38" i="108"/>
  <c r="AG38" i="108"/>
  <c r="AA39" i="108"/>
  <c r="AG39" i="108"/>
  <c r="W40" i="108"/>
  <c r="AE40" i="108"/>
  <c r="W41" i="108"/>
  <c r="AF41" i="108"/>
  <c r="K55" i="108"/>
  <c r="K54" i="108"/>
  <c r="K53" i="108"/>
  <c r="K52" i="108"/>
  <c r="Q55" i="108"/>
  <c r="C52" i="108"/>
  <c r="P50" i="108" a="1"/>
  <c r="P50" i="108" s="1"/>
  <c r="Q52" i="108"/>
  <c r="C53" i="108"/>
  <c r="AI69" i="108"/>
  <c r="Y69" i="108"/>
  <c r="AG68" i="108"/>
  <c r="Y68" i="108"/>
  <c r="AD67" i="108"/>
  <c r="U67" i="108"/>
  <c r="AA66" i="108"/>
  <c r="AH64" i="108" a="1"/>
  <c r="AH64" i="108" s="1"/>
  <c r="AA69" i="108"/>
  <c r="AA68" i="108"/>
  <c r="AA67" i="108"/>
  <c r="AE66" i="108"/>
  <c r="Y66" i="108"/>
  <c r="AE67" i="108"/>
  <c r="U68" i="108"/>
  <c r="AD69" i="108"/>
  <c r="G82" i="108" a="1"/>
  <c r="G82" i="108" s="1"/>
  <c r="R82" i="108" a="1"/>
  <c r="R82" i="108" s="1"/>
  <c r="E87" i="108" a="1"/>
  <c r="E87" i="108" s="1"/>
  <c r="R89" i="108" a="1"/>
  <c r="R89" i="108" s="1"/>
  <c r="AH92" i="108" a="1"/>
  <c r="AH92" i="108" s="1"/>
  <c r="X94" i="108" a="1"/>
  <c r="X94" i="108" s="1"/>
  <c r="AB94" i="108" a="1"/>
  <c r="AB94" i="108" s="1"/>
  <c r="AG94" i="108" a="1"/>
  <c r="AG94" i="108" s="1"/>
  <c r="Y95" i="108" a="1"/>
  <c r="Y95" i="108" s="1"/>
  <c r="AI95" i="108" a="1"/>
  <c r="AI95" i="108" s="1"/>
  <c r="AE96" i="108" a="1"/>
  <c r="AE96" i="108" s="1"/>
  <c r="V97" i="108" a="1"/>
  <c r="V97" i="108" s="1"/>
  <c r="N104" i="108"/>
  <c r="P104" i="108" a="1"/>
  <c r="P104" i="108" s="1"/>
  <c r="L104" i="108" a="1"/>
  <c r="L104" i="108" s="1"/>
  <c r="H104" i="108" a="1"/>
  <c r="H104" i="108" s="1"/>
  <c r="D104" i="108" a="1"/>
  <c r="D104" i="108" s="1"/>
  <c r="P103" i="108" a="1"/>
  <c r="P103" i="108" s="1"/>
  <c r="L103" i="108" a="1"/>
  <c r="L103" i="108" s="1"/>
  <c r="H103" i="108" a="1"/>
  <c r="H103" i="108" s="1"/>
  <c r="D103" i="108" a="1"/>
  <c r="D103" i="108" s="1"/>
  <c r="P102" i="108" a="1"/>
  <c r="P102" i="108" s="1"/>
  <c r="L102" i="108" a="1"/>
  <c r="L102" i="108" s="1"/>
  <c r="H102" i="108" a="1"/>
  <c r="H102" i="108" s="1"/>
  <c r="D102" i="108" a="1"/>
  <c r="D102" i="108" s="1"/>
  <c r="P101" i="108" a="1"/>
  <c r="P101" i="108" s="1"/>
  <c r="L101" i="108" a="1"/>
  <c r="L101" i="108" s="1"/>
  <c r="H101" i="108" a="1"/>
  <c r="H101" i="108" s="1"/>
  <c r="D101" i="108" a="1"/>
  <c r="D101" i="108" s="1"/>
  <c r="O104" i="108" a="1"/>
  <c r="O104" i="108" s="1"/>
  <c r="J104" i="108" a="1"/>
  <c r="J104" i="108" s="1"/>
  <c r="E104" i="108" a="1"/>
  <c r="E104" i="108" s="1"/>
  <c r="O103" i="108" a="1"/>
  <c r="O103" i="108" s="1"/>
  <c r="J103" i="108" a="1"/>
  <c r="J103" i="108" s="1"/>
  <c r="E103" i="108" a="1"/>
  <c r="E103" i="108" s="1"/>
  <c r="O102" i="108" a="1"/>
  <c r="O102" i="108" s="1"/>
  <c r="J102" i="108" a="1"/>
  <c r="J102" i="108" s="1"/>
  <c r="E102" i="108" a="1"/>
  <c r="E102" i="108" s="1"/>
  <c r="O101" i="108" a="1"/>
  <c r="O101" i="108" s="1"/>
  <c r="J101" i="108" a="1"/>
  <c r="J101" i="108" s="1"/>
  <c r="E101" i="108" a="1"/>
  <c r="E101" i="108" s="1"/>
  <c r="M104" i="108" a="1"/>
  <c r="M104" i="108" s="1"/>
  <c r="F104" i="108" a="1"/>
  <c r="F104" i="108" s="1"/>
  <c r="N103" i="108" a="1"/>
  <c r="N103" i="108" s="1"/>
  <c r="G103" i="108" a="1"/>
  <c r="G103" i="108" s="1"/>
  <c r="Q102" i="108" a="1"/>
  <c r="Q102" i="108" s="1"/>
  <c r="I102" i="108" a="1"/>
  <c r="I102" i="108" s="1"/>
  <c r="R101" i="108" a="1"/>
  <c r="R101" i="108" s="1"/>
  <c r="K101" i="108" a="1"/>
  <c r="K101" i="108" s="1"/>
  <c r="C101" i="108" a="1"/>
  <c r="C101" i="108" s="1"/>
  <c r="I101" i="108" a="1"/>
  <c r="I101" i="108" s="1"/>
  <c r="C102" i="108" a="1"/>
  <c r="C102" i="108" s="1"/>
  <c r="M102" i="108" a="1"/>
  <c r="M102" i="108" s="1"/>
  <c r="F103" i="108" a="1"/>
  <c r="F103" i="108" s="1"/>
  <c r="Q103" i="108" a="1"/>
  <c r="Q103" i="108" s="1"/>
  <c r="I104" i="108" a="1"/>
  <c r="I104" i="108" s="1"/>
  <c r="R104" i="108" a="1"/>
  <c r="R104" i="108" s="1"/>
  <c r="R17" i="110"/>
  <c r="J18" i="110"/>
  <c r="D19" i="110"/>
  <c r="E59" i="109"/>
  <c r="J59" i="109"/>
  <c r="P59" i="109"/>
  <c r="D60" i="109"/>
  <c r="J60" i="109"/>
  <c r="O60" i="109"/>
  <c r="E61" i="109"/>
  <c r="J61" i="109"/>
  <c r="P61" i="109"/>
  <c r="D62" i="109"/>
  <c r="J62" i="109"/>
  <c r="O62" i="109"/>
  <c r="E87" i="109"/>
  <c r="J87" i="109"/>
  <c r="P87" i="109"/>
  <c r="D88" i="109"/>
  <c r="J88" i="109"/>
  <c r="O88" i="109"/>
  <c r="E89" i="109"/>
  <c r="J89" i="109"/>
  <c r="P89" i="109"/>
  <c r="D90" i="109"/>
  <c r="J90" i="109"/>
  <c r="O90" i="109"/>
  <c r="AH10" i="108"/>
  <c r="AH11" i="108"/>
  <c r="AH12" i="108"/>
  <c r="AI18" i="108"/>
  <c r="AG19" i="108"/>
  <c r="AH48" i="108"/>
  <c r="Z48" i="108"/>
  <c r="AE47" i="108"/>
  <c r="Y47" i="108"/>
  <c r="AD46" i="108"/>
  <c r="W46" i="108"/>
  <c r="AI45" i="108"/>
  <c r="AC45" i="108"/>
  <c r="U45" i="108"/>
  <c r="Y45" i="108"/>
  <c r="AH45" i="108"/>
  <c r="Z46" i="108"/>
  <c r="AI46" i="108"/>
  <c r="AC47" i="108"/>
  <c r="U48" i="108"/>
  <c r="AD48" i="108"/>
  <c r="F62" i="108"/>
  <c r="Q62" i="108"/>
  <c r="I59" i="108"/>
  <c r="P57" i="108" a="1"/>
  <c r="P57" i="108" s="1"/>
  <c r="V80" i="108" a="1"/>
  <c r="V80" i="108" s="1"/>
  <c r="AA80" i="108" a="1"/>
  <c r="AA80" i="108" s="1"/>
  <c r="AD80" i="108" a="1"/>
  <c r="AD80" i="108" s="1"/>
  <c r="AI80" i="108" a="1"/>
  <c r="AI80" i="108" s="1"/>
  <c r="V81" i="108" a="1"/>
  <c r="V81" i="108" s="1"/>
  <c r="AA81" i="108" a="1"/>
  <c r="AA81" i="108" s="1"/>
  <c r="AD81" i="108" a="1"/>
  <c r="AD81" i="108" s="1"/>
  <c r="AI81" i="108" a="1"/>
  <c r="AI81" i="108" s="1"/>
  <c r="V82" i="108" a="1"/>
  <c r="V82" i="108" s="1"/>
  <c r="AA82" i="108" a="1"/>
  <c r="AA82" i="108" s="1"/>
  <c r="AD82" i="108" a="1"/>
  <c r="AD82" i="108" s="1"/>
  <c r="AI82" i="108" a="1"/>
  <c r="AI82" i="108" s="1"/>
  <c r="V83" i="108" a="1"/>
  <c r="V83" i="108" s="1"/>
  <c r="AA83" i="108" a="1"/>
  <c r="AA83" i="108" s="1"/>
  <c r="AD83" i="108" a="1"/>
  <c r="AD83" i="108" s="1"/>
  <c r="Y94" i="108" a="1"/>
  <c r="Y94" i="108" s="1"/>
  <c r="AI94" i="108" a="1"/>
  <c r="AI94" i="108" s="1"/>
  <c r="AE95" i="108" a="1"/>
  <c r="AE95" i="108" s="1"/>
  <c r="V96" i="108" a="1"/>
  <c r="V96" i="108" s="1"/>
  <c r="AF96" i="108" a="1"/>
  <c r="AF96" i="108" s="1"/>
  <c r="AJ96" i="108" a="1"/>
  <c r="AJ96" i="108" s="1"/>
  <c r="X97" i="108" a="1"/>
  <c r="X97" i="108" s="1"/>
  <c r="P99" i="108" a="1"/>
  <c r="P99" i="108" s="1"/>
  <c r="M101" i="108" a="1"/>
  <c r="M101" i="108" s="1"/>
  <c r="F102" i="108" a="1"/>
  <c r="F102" i="108" s="1"/>
  <c r="N102" i="108" a="1"/>
  <c r="N102" i="108" s="1"/>
  <c r="I103" i="108" a="1"/>
  <c r="I103" i="108" s="1"/>
  <c r="R103" i="108" a="1"/>
  <c r="R103" i="108" s="1"/>
  <c r="K104" i="108" a="1"/>
  <c r="K104" i="108" s="1"/>
  <c r="F17" i="110"/>
  <c r="R18" i="110"/>
  <c r="K19" i="110"/>
  <c r="AJ97" i="108" a="1"/>
  <c r="AJ97" i="108" s="1"/>
  <c r="AF97" i="108" a="1"/>
  <c r="AF97" i="108" s="1"/>
  <c r="AB97" i="108" a="1"/>
  <c r="AB97" i="108" s="1"/>
  <c r="AI97" i="108" a="1"/>
  <c r="AI97" i="108" s="1"/>
  <c r="AD97" i="108" a="1"/>
  <c r="AD97" i="108" s="1"/>
  <c r="Z97" i="108" a="1"/>
  <c r="Z97" i="108" s="1"/>
  <c r="U97" i="108" a="1"/>
  <c r="U97" i="108" s="1"/>
  <c r="AH96" i="108" a="1"/>
  <c r="AH96" i="108" s="1"/>
  <c r="AC96" i="108" a="1"/>
  <c r="AC96" i="108" s="1"/>
  <c r="Z96" i="108" a="1"/>
  <c r="Z96" i="108" s="1"/>
  <c r="U96" i="108" a="1"/>
  <c r="U96" i="108" s="1"/>
  <c r="AH95" i="108" a="1"/>
  <c r="AH95" i="108" s="1"/>
  <c r="AC95" i="108" a="1"/>
  <c r="AC95" i="108" s="1"/>
  <c r="Z95" i="108" a="1"/>
  <c r="Z95" i="108" s="1"/>
  <c r="U95" i="108" a="1"/>
  <c r="U95" i="108" s="1"/>
  <c r="AH94" i="108" a="1"/>
  <c r="AH94" i="108" s="1"/>
  <c r="AC94" i="108" a="1"/>
  <c r="AC94" i="108" s="1"/>
  <c r="Z94" i="108" a="1"/>
  <c r="Z94" i="108" s="1"/>
  <c r="U94" i="108" a="1"/>
  <c r="U94" i="108" s="1"/>
  <c r="AG97" i="108" a="1"/>
  <c r="AG97" i="108" s="1"/>
  <c r="AA97" i="108" a="1"/>
  <c r="AA97" i="108" s="1"/>
  <c r="W97" i="108" a="1"/>
  <c r="W97" i="108" s="1"/>
  <c r="AD96" i="108" a="1"/>
  <c r="AD96" i="108" s="1"/>
  <c r="AA96" i="108" a="1"/>
  <c r="AA96" i="108" s="1"/>
  <c r="W96" i="108" a="1"/>
  <c r="W96" i="108" s="1"/>
  <c r="AD95" i="108" a="1"/>
  <c r="AD95" i="108" s="1"/>
  <c r="AA95" i="108" a="1"/>
  <c r="AA95" i="108" s="1"/>
  <c r="W95" i="108" a="1"/>
  <c r="W95" i="108" s="1"/>
  <c r="AD94" i="108" a="1"/>
  <c r="AD94" i="108" s="1"/>
  <c r="AA94" i="108" a="1"/>
  <c r="AA94" i="108" s="1"/>
  <c r="W94" i="108" a="1"/>
  <c r="W94" i="108" s="1"/>
  <c r="AE94" i="108" a="1"/>
  <c r="AE94" i="108" s="1"/>
  <c r="V95" i="108" a="1"/>
  <c r="V95" i="108" s="1"/>
  <c r="AF95" i="108" a="1"/>
  <c r="AF95" i="108" s="1"/>
  <c r="AJ95" i="108" a="1"/>
  <c r="AJ95" i="108" s="1"/>
  <c r="X96" i="108" a="1"/>
  <c r="X96" i="108" s="1"/>
  <c r="AB96" i="108" a="1"/>
  <c r="AB96" i="108" s="1"/>
  <c r="AG96" i="108" a="1"/>
  <c r="AG96" i="108" s="1"/>
  <c r="Y97" i="108" a="1"/>
  <c r="Y97" i="108" s="1"/>
  <c r="AE97" i="108" a="1"/>
  <c r="AE97" i="108" s="1"/>
  <c r="Q20" i="110"/>
  <c r="O20" i="110"/>
  <c r="J20" i="110"/>
  <c r="D20" i="110"/>
  <c r="R19" i="110"/>
  <c r="L19" i="110"/>
  <c r="G19" i="110"/>
  <c r="P18" i="110"/>
  <c r="K18" i="110"/>
  <c r="F18" i="110"/>
  <c r="O17" i="110"/>
  <c r="J17" i="110"/>
  <c r="D17" i="110"/>
  <c r="P15" i="110" a="1"/>
  <c r="P15" i="110" s="1"/>
  <c r="L20" i="110"/>
  <c r="F20" i="110"/>
  <c r="O19" i="110"/>
  <c r="H19" i="110"/>
  <c r="L18" i="110"/>
  <c r="D18" i="110"/>
  <c r="P17" i="110"/>
  <c r="H17" i="110"/>
  <c r="K20" i="110"/>
  <c r="P19" i="110"/>
  <c r="F19" i="110"/>
  <c r="N18" i="110"/>
  <c r="C18" i="110"/>
  <c r="K17" i="110"/>
  <c r="R20" i="110"/>
  <c r="H20" i="110"/>
  <c r="N20" i="110"/>
  <c r="C20" i="110"/>
  <c r="J19" i="110"/>
  <c r="O18" i="110"/>
  <c r="G18" i="110"/>
  <c r="L17" i="110"/>
  <c r="C17" i="110"/>
  <c r="G17" i="110"/>
  <c r="N19" i="110"/>
  <c r="P20" i="110"/>
  <c r="X95" i="108" a="1"/>
  <c r="X95" i="108" s="1"/>
  <c r="AB95" i="108" a="1"/>
  <c r="AB95" i="108" s="1"/>
  <c r="AG95" i="108" a="1"/>
  <c r="AG95" i="108" s="1"/>
  <c r="Y96" i="108" a="1"/>
  <c r="Y96" i="108" s="1"/>
  <c r="AI96" i="108" a="1"/>
  <c r="AI96" i="108" s="1"/>
  <c r="AH97" i="108" a="1"/>
  <c r="AH97" i="108" s="1"/>
  <c r="AE26" i="110"/>
  <c r="AH25" i="110"/>
  <c r="AH24" i="110"/>
  <c r="AH22" i="110" a="1"/>
  <c r="AH22" i="110" s="1"/>
  <c r="AA25" i="110"/>
  <c r="AE24" i="110"/>
  <c r="AA27" i="110"/>
  <c r="W27" i="110"/>
  <c r="AA26" i="110"/>
  <c r="W24" i="110"/>
  <c r="AE25" i="110"/>
  <c r="W26" i="110"/>
  <c r="P97" i="108" a="1"/>
  <c r="P97" i="108" s="1"/>
  <c r="K97" i="108" a="1"/>
  <c r="K97" i="108" s="1"/>
  <c r="H97" i="108" a="1"/>
  <c r="H97" i="108" s="1"/>
  <c r="C97" i="108" a="1"/>
  <c r="C97" i="108" s="1"/>
  <c r="P96" i="108" a="1"/>
  <c r="P96" i="108" s="1"/>
  <c r="K96" i="108" a="1"/>
  <c r="K96" i="108" s="1"/>
  <c r="H96" i="108" a="1"/>
  <c r="H96" i="108" s="1"/>
  <c r="C96" i="108" a="1"/>
  <c r="C96" i="108" s="1"/>
  <c r="P95" i="108" a="1"/>
  <c r="P95" i="108" s="1"/>
  <c r="K95" i="108" a="1"/>
  <c r="K95" i="108" s="1"/>
  <c r="H95" i="108" a="1"/>
  <c r="H95" i="108" s="1"/>
  <c r="C95" i="108" a="1"/>
  <c r="C95" i="108" s="1"/>
  <c r="P94" i="108" a="1"/>
  <c r="P94" i="108" s="1"/>
  <c r="K94" i="108" a="1"/>
  <c r="K94" i="108" s="1"/>
  <c r="H94" i="108" a="1"/>
  <c r="H94" i="108" s="1"/>
  <c r="C94" i="108" a="1"/>
  <c r="C94" i="108" s="1"/>
  <c r="P92" i="108" a="1"/>
  <c r="P92" i="108" s="1"/>
  <c r="G94" i="108" a="1"/>
  <c r="G94" i="108" s="1"/>
  <c r="J94" i="108" a="1"/>
  <c r="J94" i="108" s="1"/>
  <c r="N94" i="108" a="1"/>
  <c r="N94" i="108" s="1"/>
  <c r="G95" i="108" a="1"/>
  <c r="G95" i="108" s="1"/>
  <c r="J95" i="108" a="1"/>
  <c r="J95" i="108" s="1"/>
  <c r="N95" i="108" a="1"/>
  <c r="N95" i="108" s="1"/>
  <c r="G96" i="108" a="1"/>
  <c r="G96" i="108" s="1"/>
  <c r="J96" i="108" a="1"/>
  <c r="J96" i="108" s="1"/>
  <c r="N96" i="108" a="1"/>
  <c r="N96" i="108" s="1"/>
  <c r="G97" i="108" a="1"/>
  <c r="G97" i="108" s="1"/>
  <c r="J97" i="108" a="1"/>
  <c r="J97" i="108" s="1"/>
  <c r="N97" i="108" a="1"/>
  <c r="N97" i="108" s="1"/>
  <c r="N13" i="110"/>
  <c r="E13" i="110"/>
  <c r="P12" i="110"/>
  <c r="E12" i="110"/>
  <c r="N11" i="110"/>
  <c r="E11" i="110"/>
  <c r="M10" i="110"/>
  <c r="G10" i="110"/>
  <c r="P8" i="110"/>
  <c r="L13" i="110"/>
  <c r="Q12" i="110"/>
  <c r="D12" i="110"/>
  <c r="F11" i="110"/>
  <c r="K10" i="110"/>
  <c r="H10" i="110"/>
  <c r="L11" i="110"/>
  <c r="F13" i="110"/>
  <c r="AB17" i="110"/>
  <c r="AG18" i="110"/>
  <c r="X19" i="110"/>
  <c r="AH33" i="110"/>
  <c r="N41" i="110"/>
  <c r="D39" i="110"/>
  <c r="I38" i="110"/>
  <c r="I40" i="110"/>
  <c r="N40" i="110"/>
  <c r="I41" i="110"/>
  <c r="D38" i="110"/>
  <c r="N39" i="110"/>
  <c r="P36" i="110" a="1"/>
  <c r="P36" i="110" s="1"/>
  <c r="N38" i="110"/>
  <c r="D40" i="110"/>
  <c r="L12" i="110"/>
  <c r="AD20" i="110"/>
  <c r="Y20" i="110"/>
  <c r="AD19" i="110"/>
  <c r="AJ18" i="110"/>
  <c r="AB18" i="110"/>
  <c r="AH17" i="110"/>
  <c r="X17" i="110"/>
  <c r="V20" i="110"/>
  <c r="AB19" i="110"/>
  <c r="AH18" i="110"/>
  <c r="V18" i="110"/>
  <c r="AC17" i="110"/>
  <c r="AH15" i="110" a="1"/>
  <c r="AH15" i="110" s="1"/>
  <c r="V17" i="110"/>
  <c r="AC18" i="110"/>
  <c r="AH19" i="110"/>
  <c r="AC20" i="110"/>
  <c r="AC34" i="110"/>
  <c r="X33" i="110"/>
  <c r="AH34" i="110"/>
  <c r="AC33" i="110"/>
  <c r="AF32" i="110"/>
  <c r="AH31" i="110"/>
  <c r="AH29" i="110" a="1"/>
  <c r="AH29" i="110" s="1"/>
  <c r="AJ32" i="110"/>
  <c r="AD31" i="110"/>
  <c r="AC32" i="110"/>
  <c r="D41" i="110"/>
  <c r="AF48" i="110"/>
  <c r="AJ48" i="110"/>
  <c r="Y48" i="110"/>
  <c r="AF47" i="110"/>
  <c r="Y47" i="110"/>
  <c r="AG46" i="110"/>
  <c r="Z46" i="110"/>
  <c r="AJ45" i="110"/>
  <c r="AB45" i="110"/>
  <c r="U45" i="110"/>
  <c r="AG48" i="110"/>
  <c r="AB47" i="110"/>
  <c r="AB46" i="110"/>
  <c r="Z45" i="110"/>
  <c r="AH43" i="110" a="1"/>
  <c r="AH43" i="110" s="1"/>
  <c r="V45" i="110"/>
  <c r="AG45" i="110"/>
  <c r="V46" i="110"/>
  <c r="AJ46" i="110"/>
  <c r="V47" i="110"/>
  <c r="AJ47" i="110"/>
  <c r="AB48" i="110"/>
  <c r="P64" i="110" a="1"/>
  <c r="P64" i="110" s="1"/>
  <c r="AA66" i="110"/>
  <c r="Z67" i="110"/>
  <c r="AJ67" i="110"/>
  <c r="AF68" i="110"/>
  <c r="AJ74" i="110" a="1"/>
  <c r="AJ74" i="110" s="1"/>
  <c r="AD75" i="110" a="1"/>
  <c r="AD75" i="110" s="1"/>
  <c r="AD48" i="110"/>
  <c r="AI69" i="110"/>
  <c r="AA69" i="110"/>
  <c r="AJ68" i="110"/>
  <c r="AD68" i="110"/>
  <c r="V68" i="110"/>
  <c r="AE67" i="110"/>
  <c r="X67" i="110"/>
  <c r="AF66" i="110"/>
  <c r="Z66" i="110"/>
  <c r="AD69" i="110"/>
  <c r="AI68" i="110"/>
  <c r="Z68" i="110"/>
  <c r="AF67" i="110"/>
  <c r="V67" i="110"/>
  <c r="AD66" i="110"/>
  <c r="AH64" i="110" a="1"/>
  <c r="AH64" i="110" s="1"/>
  <c r="AE66" i="110"/>
  <c r="AA67" i="110"/>
  <c r="X68" i="110"/>
  <c r="V69" i="110"/>
  <c r="AF69" i="110"/>
  <c r="AI76" i="110" a="1"/>
  <c r="AI76" i="110" s="1"/>
  <c r="AF76" i="110" a="1"/>
  <c r="AF76" i="110" s="1"/>
  <c r="Y76" i="110" a="1"/>
  <c r="Y76" i="110" s="1"/>
  <c r="V76" i="110" a="1"/>
  <c r="V76" i="110" s="1"/>
  <c r="AI75" i="110" a="1"/>
  <c r="AI75" i="110" s="1"/>
  <c r="AE75" i="110" a="1"/>
  <c r="AE75" i="110" s="1"/>
  <c r="AB75" i="110" a="1"/>
  <c r="AB75" i="110" s="1"/>
  <c r="U75" i="110" a="1"/>
  <c r="U75" i="110" s="1"/>
  <c r="AI74" i="110" a="1"/>
  <c r="AI74" i="110" s="1"/>
  <c r="AF74" i="110" a="1"/>
  <c r="AF74" i="110" s="1"/>
  <c r="Y74" i="110" a="1"/>
  <c r="Y74" i="110" s="1"/>
  <c r="V74" i="110" a="1"/>
  <c r="V74" i="110" s="1"/>
  <c r="AI73" i="110" a="1"/>
  <c r="AI73" i="110" s="1"/>
  <c r="AE73" i="110" a="1"/>
  <c r="AE73" i="110" s="1"/>
  <c r="AB73" i="110" a="1"/>
  <c r="AB73" i="110" s="1"/>
  <c r="Y73" i="110" a="1"/>
  <c r="Y73" i="110" s="1"/>
  <c r="V73" i="110" a="1"/>
  <c r="V73" i="110" s="1"/>
  <c r="AJ76" i="110" a="1"/>
  <c r="AJ76" i="110" s="1"/>
  <c r="AE76" i="110" a="1"/>
  <c r="AE76" i="110" s="1"/>
  <c r="AA76" i="110" a="1"/>
  <c r="AA76" i="110" s="1"/>
  <c r="AF75" i="110" a="1"/>
  <c r="AF75" i="110" s="1"/>
  <c r="AA75" i="110" a="1"/>
  <c r="AA75" i="110" s="1"/>
  <c r="W75" i="110" a="1"/>
  <c r="W75" i="110" s="1"/>
  <c r="AG74" i="110" a="1"/>
  <c r="AG74" i="110" s="1"/>
  <c r="AC74" i="110" a="1"/>
  <c r="AC74" i="110" s="1"/>
  <c r="X74" i="110" a="1"/>
  <c r="X74" i="110" s="1"/>
  <c r="AH73" i="110" a="1"/>
  <c r="AH73" i="110" s="1"/>
  <c r="AD73" i="110" a="1"/>
  <c r="AD73" i="110" s="1"/>
  <c r="Z73" i="110" a="1"/>
  <c r="Z73" i="110" s="1"/>
  <c r="U73" i="110" a="1"/>
  <c r="U73" i="110" s="1"/>
  <c r="AH76" i="110" a="1"/>
  <c r="AH76" i="110" s="1"/>
  <c r="AD76" i="110" a="1"/>
  <c r="AD76" i="110" s="1"/>
  <c r="Z76" i="110" a="1"/>
  <c r="Z76" i="110" s="1"/>
  <c r="U76" i="110" a="1"/>
  <c r="U76" i="110" s="1"/>
  <c r="AJ75" i="110" a="1"/>
  <c r="AJ75" i="110" s="1"/>
  <c r="Z75" i="110" a="1"/>
  <c r="Z75" i="110" s="1"/>
  <c r="V75" i="110" a="1"/>
  <c r="V75" i="110" s="1"/>
  <c r="AB74" i="110" a="1"/>
  <c r="AB74" i="110" s="1"/>
  <c r="W74" i="110" a="1"/>
  <c r="W74" i="110" s="1"/>
  <c r="AG73" i="110" a="1"/>
  <c r="AG73" i="110" s="1"/>
  <c r="AC73" i="110" a="1"/>
  <c r="AC73" i="110" s="1"/>
  <c r="X73" i="110" a="1"/>
  <c r="X73" i="110" s="1"/>
  <c r="AB76" i="110" a="1"/>
  <c r="AB76" i="110" s="1"/>
  <c r="W76" i="110" a="1"/>
  <c r="W76" i="110" s="1"/>
  <c r="AG75" i="110" a="1"/>
  <c r="AG75" i="110" s="1"/>
  <c r="AC75" i="110" a="1"/>
  <c r="AC75" i="110" s="1"/>
  <c r="X75" i="110" a="1"/>
  <c r="X75" i="110" s="1"/>
  <c r="AH74" i="110" a="1"/>
  <c r="AH74" i="110" s="1"/>
  <c r="AD74" i="110" a="1"/>
  <c r="AD74" i="110" s="1"/>
  <c r="Z74" i="110" a="1"/>
  <c r="Z74" i="110" s="1"/>
  <c r="U74" i="110" a="1"/>
  <c r="U74" i="110" s="1"/>
  <c r="AJ73" i="110" a="1"/>
  <c r="AJ73" i="110" s="1"/>
  <c r="W73" i="110" a="1"/>
  <c r="W73" i="110" s="1"/>
  <c r="AH75" i="110" a="1"/>
  <c r="AH75" i="110" s="1"/>
  <c r="AC76" i="110" a="1"/>
  <c r="AC76" i="110" s="1"/>
  <c r="Y52" i="108"/>
  <c r="AE52" i="108"/>
  <c r="Y53" i="108"/>
  <c r="AE53" i="108"/>
  <c r="Y54" i="108"/>
  <c r="AE54" i="108"/>
  <c r="Y55" i="108"/>
  <c r="U73" i="108" a="1"/>
  <c r="U73" i="108" s="1"/>
  <c r="W73" i="108" a="1"/>
  <c r="W73" i="108" s="1"/>
  <c r="Y73" i="108" a="1"/>
  <c r="Y73" i="108" s="1"/>
  <c r="AA73" i="108" a="1"/>
  <c r="AA73" i="108" s="1"/>
  <c r="AC73" i="108" a="1"/>
  <c r="AC73" i="108" s="1"/>
  <c r="AE73" i="108" a="1"/>
  <c r="AE73" i="108" s="1"/>
  <c r="AG73" i="108" a="1"/>
  <c r="AG73" i="108" s="1"/>
  <c r="AI73" i="108" a="1"/>
  <c r="AI73" i="108" s="1"/>
  <c r="V76" i="108" a="1"/>
  <c r="V76" i="108" s="1"/>
  <c r="X76" i="108" a="1"/>
  <c r="X76" i="108" s="1"/>
  <c r="Z76" i="108" a="1"/>
  <c r="Z76" i="108" s="1"/>
  <c r="AB76" i="108" a="1"/>
  <c r="AB76" i="108" s="1"/>
  <c r="AD76" i="108" a="1"/>
  <c r="AD76" i="108" s="1"/>
  <c r="AF76" i="108" a="1"/>
  <c r="AF76" i="108" s="1"/>
  <c r="AH76" i="108" a="1"/>
  <c r="AH76" i="108" s="1"/>
  <c r="U87" i="108" a="1"/>
  <c r="U87" i="108" s="1"/>
  <c r="W87" i="108" a="1"/>
  <c r="W87" i="108" s="1"/>
  <c r="Y87" i="108" a="1"/>
  <c r="Y87" i="108" s="1"/>
  <c r="AA87" i="108" a="1"/>
  <c r="AA87" i="108" s="1"/>
  <c r="AC87" i="108" a="1"/>
  <c r="AC87" i="108" s="1"/>
  <c r="AE87" i="108" a="1"/>
  <c r="AE87" i="108" s="1"/>
  <c r="AG87" i="108" a="1"/>
  <c r="AG87" i="108" s="1"/>
  <c r="AI87" i="108" a="1"/>
  <c r="AI87" i="108" s="1"/>
  <c r="U88" i="108" a="1"/>
  <c r="U88" i="108" s="1"/>
  <c r="W88" i="108" a="1"/>
  <c r="W88" i="108" s="1"/>
  <c r="Y88" i="108" a="1"/>
  <c r="Y88" i="108" s="1"/>
  <c r="AA88" i="108" a="1"/>
  <c r="AA88" i="108" s="1"/>
  <c r="AC88" i="108" a="1"/>
  <c r="AC88" i="108" s="1"/>
  <c r="AE88" i="108" a="1"/>
  <c r="AE88" i="108" s="1"/>
  <c r="AG88" i="108" a="1"/>
  <c r="AG88" i="108" s="1"/>
  <c r="AI88" i="108" a="1"/>
  <c r="AI88" i="108" s="1"/>
  <c r="U89" i="108" a="1"/>
  <c r="U89" i="108" s="1"/>
  <c r="W89" i="108" a="1"/>
  <c r="W89" i="108" s="1"/>
  <c r="Y89" i="108" a="1"/>
  <c r="Y89" i="108" s="1"/>
  <c r="AA89" i="108" a="1"/>
  <c r="AA89" i="108" s="1"/>
  <c r="AC89" i="108" a="1"/>
  <c r="AC89" i="108" s="1"/>
  <c r="AE89" i="108" a="1"/>
  <c r="AE89" i="108" s="1"/>
  <c r="AG89" i="108" a="1"/>
  <c r="AG89" i="108" s="1"/>
  <c r="AI89" i="108" a="1"/>
  <c r="AI89" i="108" s="1"/>
  <c r="U90" i="108" a="1"/>
  <c r="U90" i="108" s="1"/>
  <c r="W90" i="108" a="1"/>
  <c r="W90" i="108" s="1"/>
  <c r="Y90" i="108" a="1"/>
  <c r="Y90" i="108" s="1"/>
  <c r="AA90" i="108" a="1"/>
  <c r="AA90" i="108" s="1"/>
  <c r="AC90" i="108" a="1"/>
  <c r="AC90" i="108" s="1"/>
  <c r="AE90" i="108" a="1"/>
  <c r="AE90" i="108" s="1"/>
  <c r="AG90" i="108" a="1"/>
  <c r="AG90" i="108" s="1"/>
  <c r="AF13" i="110"/>
  <c r="AA12" i="110"/>
  <c r="AB11" i="110"/>
  <c r="X10" i="110"/>
  <c r="V10" i="110"/>
  <c r="V11" i="110"/>
  <c r="AH12" i="110"/>
  <c r="AI13" i="110"/>
  <c r="Q48" i="110"/>
  <c r="O48" i="110"/>
  <c r="J48" i="110"/>
  <c r="D48" i="110"/>
  <c r="P47" i="110"/>
  <c r="K47" i="110"/>
  <c r="F47" i="110"/>
  <c r="R46" i="110"/>
  <c r="L46" i="110"/>
  <c r="G46" i="110"/>
  <c r="N45" i="110"/>
  <c r="H45" i="110"/>
  <c r="C45" i="110"/>
  <c r="R48" i="110"/>
  <c r="K48" i="110"/>
  <c r="C48" i="110"/>
  <c r="R47" i="110"/>
  <c r="J47" i="110"/>
  <c r="C47" i="110"/>
  <c r="P46" i="110"/>
  <c r="J46" i="110"/>
  <c r="C46" i="110"/>
  <c r="P45" i="110"/>
  <c r="J45" i="110"/>
  <c r="F45" i="110"/>
  <c r="O45" i="110"/>
  <c r="AD45" i="110"/>
  <c r="F46" i="110"/>
  <c r="O46" i="110"/>
  <c r="AD46" i="110"/>
  <c r="G47" i="110"/>
  <c r="O47" i="110"/>
  <c r="AD47" i="110"/>
  <c r="G48" i="110"/>
  <c r="P48" i="110"/>
  <c r="J55" i="110"/>
  <c r="M54" i="110"/>
  <c r="P53" i="110"/>
  <c r="E53" i="110"/>
  <c r="J52" i="110"/>
  <c r="H55" i="110"/>
  <c r="R54" i="110"/>
  <c r="E54" i="110"/>
  <c r="M53" i="110"/>
  <c r="M52" i="110"/>
  <c r="R52" i="110"/>
  <c r="H53" i="110"/>
  <c r="P55" i="110"/>
  <c r="Q62" i="110"/>
  <c r="R62" i="110"/>
  <c r="L62" i="110"/>
  <c r="G62" i="110"/>
  <c r="O61" i="110"/>
  <c r="J61" i="110"/>
  <c r="D61" i="110"/>
  <c r="P60" i="110"/>
  <c r="K60" i="110"/>
  <c r="F60" i="110"/>
  <c r="N59" i="110"/>
  <c r="H59" i="110"/>
  <c r="C59" i="110"/>
  <c r="P62" i="110"/>
  <c r="J62" i="110"/>
  <c r="C62" i="110"/>
  <c r="N61" i="110"/>
  <c r="G61" i="110"/>
  <c r="R60" i="110"/>
  <c r="J60" i="110"/>
  <c r="C60" i="110"/>
  <c r="O59" i="110"/>
  <c r="G59" i="110"/>
  <c r="D59" i="110"/>
  <c r="L59" i="110"/>
  <c r="D60" i="110"/>
  <c r="N60" i="110"/>
  <c r="F61" i="110"/>
  <c r="P61" i="110"/>
  <c r="F62" i="110"/>
  <c r="O62" i="110"/>
  <c r="V66" i="110"/>
  <c r="AI66" i="110"/>
  <c r="AD67" i="110"/>
  <c r="AA68" i="110"/>
  <c r="X69" i="110"/>
  <c r="AJ69" i="110"/>
  <c r="AH71" i="110" a="1"/>
  <c r="AH71" i="110" s="1"/>
  <c r="AA73" i="110" a="1"/>
  <c r="AA73" i="110" s="1"/>
  <c r="AA74" i="110" a="1"/>
  <c r="AA74" i="110" s="1"/>
  <c r="AG76" i="110" a="1"/>
  <c r="AG76" i="110" s="1"/>
  <c r="P83" i="110" a="1"/>
  <c r="P83" i="110" s="1"/>
  <c r="L83" i="110" a="1"/>
  <c r="L83" i="110" s="1"/>
  <c r="I83" i="110" a="1"/>
  <c r="I83" i="110" s="1"/>
  <c r="N82" i="110" a="1"/>
  <c r="N82" i="110" s="1"/>
  <c r="K82" i="110" a="1"/>
  <c r="K82" i="110" s="1"/>
  <c r="G82" i="110" a="1"/>
  <c r="G82" i="110" s="1"/>
  <c r="D82" i="110" a="1"/>
  <c r="D82" i="110" s="1"/>
  <c r="P81" i="110" a="1"/>
  <c r="P81" i="110" s="1"/>
  <c r="L81" i="110" a="1"/>
  <c r="L81" i="110" s="1"/>
  <c r="I81" i="110" a="1"/>
  <c r="I81" i="110" s="1"/>
  <c r="N80" i="110" a="1"/>
  <c r="N80" i="110" s="1"/>
  <c r="K80" i="110" a="1"/>
  <c r="K80" i="110" s="1"/>
  <c r="G80" i="110" a="1"/>
  <c r="G80" i="110" s="1"/>
  <c r="D80" i="110" a="1"/>
  <c r="D80" i="110" s="1"/>
  <c r="F80" i="110" a="1"/>
  <c r="F80" i="110" s="1"/>
  <c r="P80" i="110" a="1"/>
  <c r="P80" i="110" s="1"/>
  <c r="F81" i="110" a="1"/>
  <c r="F81" i="110" s="1"/>
  <c r="K81" i="110" a="1"/>
  <c r="K81" i="110" s="1"/>
  <c r="O81" i="110" a="1"/>
  <c r="O81" i="110" s="1"/>
  <c r="J82" i="110" a="1"/>
  <c r="J82" i="110" s="1"/>
  <c r="O82" i="110" a="1"/>
  <c r="O82" i="110" s="1"/>
  <c r="E83" i="110" a="1"/>
  <c r="E83" i="110" s="1"/>
  <c r="J83" i="110" a="1"/>
  <c r="J83" i="110" s="1"/>
  <c r="N83" i="110" a="1"/>
  <c r="N83" i="110" s="1"/>
  <c r="R83" i="110" a="1"/>
  <c r="R83" i="110" s="1"/>
  <c r="AH85" i="110" a="1"/>
  <c r="AH85" i="110" s="1"/>
  <c r="X87" i="110" a="1"/>
  <c r="X87" i="110" s="1"/>
  <c r="AD87" i="110" a="1"/>
  <c r="AD87" i="110" s="1"/>
  <c r="AI87" i="110" a="1"/>
  <c r="AI87" i="110" s="1"/>
  <c r="W88" i="110" a="1"/>
  <c r="W88" i="110" s="1"/>
  <c r="AC88" i="110" a="1"/>
  <c r="AC88" i="110" s="1"/>
  <c r="AH88" i="110" a="1"/>
  <c r="AH88" i="110" s="1"/>
  <c r="AB89" i="110" a="1"/>
  <c r="AB89" i="110" s="1"/>
  <c r="AI89" i="110" a="1"/>
  <c r="AI89" i="110" s="1"/>
  <c r="AE90" i="110" a="1"/>
  <c r="AE90" i="110" s="1"/>
  <c r="Z90" i="110" a="1"/>
  <c r="Z90" i="110" s="1"/>
  <c r="AG90" i="110" a="1"/>
  <c r="AG90" i="110" s="1"/>
  <c r="I24" i="110"/>
  <c r="P24" i="110"/>
  <c r="I25" i="110"/>
  <c r="P25" i="110"/>
  <c r="I26" i="110"/>
  <c r="P26" i="110"/>
  <c r="I27" i="110"/>
  <c r="Q34" i="110"/>
  <c r="O34" i="110"/>
  <c r="J34" i="110"/>
  <c r="D34" i="110"/>
  <c r="N33" i="110"/>
  <c r="H33" i="110"/>
  <c r="G31" i="110"/>
  <c r="L31" i="110"/>
  <c r="R31" i="110"/>
  <c r="G32" i="110"/>
  <c r="L32" i="110"/>
  <c r="R32" i="110"/>
  <c r="F33" i="110"/>
  <c r="L33" i="110"/>
  <c r="G34" i="110"/>
  <c r="N34" i="110"/>
  <c r="AF61" i="110"/>
  <c r="U59" i="110"/>
  <c r="N76" i="110"/>
  <c r="G76" i="110"/>
  <c r="N75" i="110"/>
  <c r="G75" i="110"/>
  <c r="N74" i="110"/>
  <c r="G74" i="110"/>
  <c r="O73" i="110"/>
  <c r="J73" i="110"/>
  <c r="D73" i="110"/>
  <c r="P71" i="110" a="1"/>
  <c r="P71" i="110" s="1"/>
  <c r="C73" i="110"/>
  <c r="K73" i="110"/>
  <c r="R73" i="110"/>
  <c r="F74" i="110"/>
  <c r="P74" i="110"/>
  <c r="C75" i="110"/>
  <c r="L75" i="110"/>
  <c r="K76" i="110"/>
  <c r="E80" i="110" a="1"/>
  <c r="E80" i="110" s="1"/>
  <c r="I80" i="110" a="1"/>
  <c r="I80" i="110" s="1"/>
  <c r="M80" i="110" a="1"/>
  <c r="M80" i="110" s="1"/>
  <c r="R80" i="110" a="1"/>
  <c r="R80" i="110" s="1"/>
  <c r="D81" i="110" a="1"/>
  <c r="D81" i="110" s="1"/>
  <c r="H81" i="110" a="1"/>
  <c r="H81" i="110" s="1"/>
  <c r="M81" i="110" a="1"/>
  <c r="M81" i="110" s="1"/>
  <c r="C82" i="110" a="1"/>
  <c r="C82" i="110" s="1"/>
  <c r="H82" i="110" a="1"/>
  <c r="H82" i="110" s="1"/>
  <c r="L82" i="110" a="1"/>
  <c r="L82" i="110" s="1"/>
  <c r="Q82" i="110" a="1"/>
  <c r="Q82" i="110" s="1"/>
  <c r="C83" i="110" a="1"/>
  <c r="C83" i="110" s="1"/>
  <c r="G83" i="110" a="1"/>
  <c r="G83" i="110" s="1"/>
  <c r="Q83" i="110" a="1"/>
  <c r="Q83" i="110" s="1"/>
  <c r="U87" i="110" a="1"/>
  <c r="U87" i="110" s="1"/>
  <c r="AG87" i="110" a="1"/>
  <c r="AG87" i="110" s="1"/>
  <c r="Z88" i="110" a="1"/>
  <c r="Z88" i="110" s="1"/>
  <c r="AF88" i="110" a="1"/>
  <c r="AF88" i="110" s="1"/>
  <c r="X89" i="110" a="1"/>
  <c r="X89" i="110" s="1"/>
  <c r="J80" i="110" a="1"/>
  <c r="J80" i="110" s="1"/>
  <c r="O80" i="110" a="1"/>
  <c r="O80" i="110" s="1"/>
  <c r="E81" i="110" a="1"/>
  <c r="E81" i="110" s="1"/>
  <c r="J81" i="110" a="1"/>
  <c r="J81" i="110" s="1"/>
  <c r="N81" i="110" a="1"/>
  <c r="N81" i="110" s="1"/>
  <c r="R81" i="110" a="1"/>
  <c r="R81" i="110" s="1"/>
  <c r="E82" i="110" a="1"/>
  <c r="E82" i="110" s="1"/>
  <c r="I82" i="110" a="1"/>
  <c r="I82" i="110" s="1"/>
  <c r="M82" i="110" a="1"/>
  <c r="M82" i="110" s="1"/>
  <c r="R82" i="110" a="1"/>
  <c r="R82" i="110" s="1"/>
  <c r="D83" i="110" a="1"/>
  <c r="D83" i="110" s="1"/>
  <c r="H83" i="110" a="1"/>
  <c r="H83" i="110" s="1"/>
  <c r="M83" i="110" a="1"/>
  <c r="M83" i="110" s="1"/>
  <c r="AH90" i="110" a="1"/>
  <c r="AH90" i="110" s="1"/>
  <c r="AA90" i="110" a="1"/>
  <c r="AA90" i="110" s="1"/>
  <c r="X90" i="110" a="1"/>
  <c r="X90" i="110" s="1"/>
  <c r="U90" i="110" a="1"/>
  <c r="U90" i="110" s="1"/>
  <c r="AH89" i="110" a="1"/>
  <c r="AH89" i="110" s="1"/>
  <c r="AA89" i="110" a="1"/>
  <c r="AA89" i="110" s="1"/>
  <c r="AJ90" i="110" a="1"/>
  <c r="AJ90" i="110" s="1"/>
  <c r="AF90" i="110" a="1"/>
  <c r="AF90" i="110" s="1"/>
  <c r="AB90" i="110" a="1"/>
  <c r="AB90" i="110" s="1"/>
  <c r="W90" i="110" a="1"/>
  <c r="W90" i="110" s="1"/>
  <c r="AG89" i="110" a="1"/>
  <c r="AG89" i="110" s="1"/>
  <c r="AC89" i="110" a="1"/>
  <c r="AC89" i="110" s="1"/>
  <c r="Y89" i="110" a="1"/>
  <c r="Y89" i="110" s="1"/>
  <c r="V89" i="110" a="1"/>
  <c r="V89" i="110" s="1"/>
  <c r="AE88" i="110" a="1"/>
  <c r="AE88" i="110" s="1"/>
  <c r="AB88" i="110" a="1"/>
  <c r="AB88" i="110" s="1"/>
  <c r="Y88" i="110" a="1"/>
  <c r="Y88" i="110" s="1"/>
  <c r="V88" i="110" a="1"/>
  <c r="V88" i="110" s="1"/>
  <c r="AE87" i="110" a="1"/>
  <c r="AE87" i="110" s="1"/>
  <c r="AB87" i="110" a="1"/>
  <c r="AB87" i="110" s="1"/>
  <c r="Y87" i="110" a="1"/>
  <c r="Y87" i="110" s="1"/>
  <c r="V87" i="110" a="1"/>
  <c r="V87" i="110" s="1"/>
  <c r="AI90" i="110" a="1"/>
  <c r="AI90" i="110" s="1"/>
  <c r="AD90" i="110" a="1"/>
  <c r="AD90" i="110" s="1"/>
  <c r="Y90" i="110" a="1"/>
  <c r="Y90" i="110" s="1"/>
  <c r="AJ89" i="110" a="1"/>
  <c r="AJ89" i="110" s="1"/>
  <c r="AE89" i="110" a="1"/>
  <c r="AE89" i="110" s="1"/>
  <c r="Z89" i="110" a="1"/>
  <c r="Z89" i="110" s="1"/>
  <c r="U89" i="110" a="1"/>
  <c r="U89" i="110" s="1"/>
  <c r="AI88" i="110" a="1"/>
  <c r="AI88" i="110" s="1"/>
  <c r="AJ87" i="110" a="1"/>
  <c r="AJ87" i="110" s="1"/>
  <c r="AF87" i="110" a="1"/>
  <c r="AF87" i="110" s="1"/>
  <c r="AA87" i="110" a="1"/>
  <c r="AA87" i="110" s="1"/>
  <c r="W87" i="110" a="1"/>
  <c r="W87" i="110" s="1"/>
  <c r="AC87" i="110" a="1"/>
  <c r="AC87" i="110" s="1"/>
  <c r="AH87" i="110" a="1"/>
  <c r="AH87" i="110" s="1"/>
  <c r="U88" i="110" a="1"/>
  <c r="U88" i="110" s="1"/>
  <c r="AA88" i="110" a="1"/>
  <c r="AA88" i="110" s="1"/>
  <c r="AG88" i="110" a="1"/>
  <c r="AG88" i="110" s="1"/>
  <c r="V90" i="110" a="1"/>
  <c r="V90" i="110" s="1"/>
  <c r="AC90" i="110" a="1"/>
  <c r="AC90" i="110" s="1"/>
  <c r="AA38" i="110"/>
  <c r="X39" i="110"/>
  <c r="AI39" i="110"/>
  <c r="V40" i="110"/>
  <c r="AF40" i="110"/>
  <c r="Z52" i="110"/>
  <c r="AJ53" i="110"/>
  <c r="AE54" i="110"/>
  <c r="Z55" i="110"/>
  <c r="AF83" i="110" a="1"/>
  <c r="AF83" i="110" s="1"/>
  <c r="AC83" i="110" a="1"/>
  <c r="AC83" i="110" s="1"/>
  <c r="W80" i="110" a="1"/>
  <c r="W80" i="110" s="1"/>
  <c r="Z80" i="110" a="1"/>
  <c r="Z80" i="110" s="1"/>
  <c r="AG80" i="110" a="1"/>
  <c r="AG80" i="110" s="1"/>
  <c r="AJ80" i="110" a="1"/>
  <c r="AJ80" i="110" s="1"/>
  <c r="U81" i="110" a="1"/>
  <c r="U81" i="110" s="1"/>
  <c r="X81" i="110" a="1"/>
  <c r="X81" i="110" s="1"/>
  <c r="AB81" i="110" a="1"/>
  <c r="AB81" i="110" s="1"/>
  <c r="AE81" i="110" a="1"/>
  <c r="AE81" i="110" s="1"/>
  <c r="AI81" i="110" a="1"/>
  <c r="AI81" i="110" s="1"/>
  <c r="W82" i="110" a="1"/>
  <c r="W82" i="110" s="1"/>
  <c r="Z82" i="110" a="1"/>
  <c r="Z82" i="110" s="1"/>
  <c r="AG82" i="110" a="1"/>
  <c r="AG82" i="110" s="1"/>
  <c r="AJ82" i="110" a="1"/>
  <c r="AJ82" i="110" s="1"/>
  <c r="U83" i="110" a="1"/>
  <c r="U83" i="110" s="1"/>
  <c r="X83" i="110" a="1"/>
  <c r="X83" i="110" s="1"/>
  <c r="AB83" i="110" a="1"/>
  <c r="AB83" i="110" s="1"/>
  <c r="AG83" i="110" a="1"/>
  <c r="AG83" i="110" s="1"/>
  <c r="R90" i="110"/>
  <c r="P90" i="110" a="1"/>
  <c r="P90" i="110" s="1"/>
  <c r="M90" i="110" a="1"/>
  <c r="M90" i="110" s="1"/>
  <c r="H90" i="110" a="1"/>
  <c r="H90" i="110" s="1"/>
  <c r="E90" i="110" a="1"/>
  <c r="E90" i="110" s="1"/>
  <c r="Q90" i="110" a="1"/>
  <c r="Q90" i="110" s="1"/>
  <c r="N90" i="110" a="1"/>
  <c r="N90" i="110" s="1"/>
  <c r="J90" i="110" a="1"/>
  <c r="J90" i="110" s="1"/>
  <c r="C90" i="110" a="1"/>
  <c r="C90" i="110" s="1"/>
  <c r="N89" i="110" a="1"/>
  <c r="N89" i="110" s="1"/>
  <c r="K89" i="110" a="1"/>
  <c r="K89" i="110" s="1"/>
  <c r="F89" i="110" a="1"/>
  <c r="F89" i="110" s="1"/>
  <c r="C89" i="110" a="1"/>
  <c r="C89" i="110" s="1"/>
  <c r="N88" i="110" a="1"/>
  <c r="N88" i="110" s="1"/>
  <c r="K88" i="110" a="1"/>
  <c r="K88" i="110" s="1"/>
  <c r="F88" i="110" a="1"/>
  <c r="F88" i="110" s="1"/>
  <c r="C88" i="110" a="1"/>
  <c r="C88" i="110" s="1"/>
  <c r="N87" i="110" a="1"/>
  <c r="N87" i="110" s="1"/>
  <c r="K87" i="110" a="1"/>
  <c r="K87" i="110" s="1"/>
  <c r="F87" i="110" a="1"/>
  <c r="F87" i="110" s="1"/>
  <c r="C87" i="110" a="1"/>
  <c r="C87" i="110" s="1"/>
  <c r="P85" i="110" a="1"/>
  <c r="P85" i="110" s="1"/>
  <c r="J87" i="110" a="1"/>
  <c r="J87" i="110" s="1"/>
  <c r="M87" i="110" a="1"/>
  <c r="M87" i="110" s="1"/>
  <c r="Q87" i="110" a="1"/>
  <c r="Q87" i="110" s="1"/>
  <c r="E88" i="110" a="1"/>
  <c r="E88" i="110" s="1"/>
  <c r="I88" i="110" a="1"/>
  <c r="I88" i="110" s="1"/>
  <c r="P88" i="110" a="1"/>
  <c r="P88" i="110" s="1"/>
  <c r="H89" i="110" a="1"/>
  <c r="H89" i="110" s="1"/>
  <c r="L89" i="110" a="1"/>
  <c r="L89" i="110" s="1"/>
  <c r="O89" i="110" a="1"/>
  <c r="O89" i="110" s="1"/>
  <c r="G90" i="110" a="1"/>
  <c r="G90" i="110" s="1"/>
  <c r="L90" i="110" a="1"/>
  <c r="L90" i="110" s="1"/>
  <c r="U97" i="110" a="1"/>
  <c r="U97" i="110" s="1"/>
  <c r="Z97" i="110" a="1"/>
  <c r="Z97" i="110" s="1"/>
  <c r="O102" i="110"/>
  <c r="P104" i="110" a="1"/>
  <c r="P104" i="110" s="1"/>
  <c r="L104" i="110" a="1"/>
  <c r="L104" i="110" s="1"/>
  <c r="H104" i="110" a="1"/>
  <c r="H104" i="110" s="1"/>
  <c r="D104" i="110" a="1"/>
  <c r="D104" i="110" s="1"/>
  <c r="P103" i="110" a="1"/>
  <c r="P103" i="110" s="1"/>
  <c r="L103" i="110" a="1"/>
  <c r="L103" i="110" s="1"/>
  <c r="H103" i="110" a="1"/>
  <c r="H103" i="110" s="1"/>
  <c r="D103" i="110" a="1"/>
  <c r="D103" i="110" s="1"/>
  <c r="P102" i="110" a="1"/>
  <c r="P102" i="110" s="1"/>
  <c r="L102" i="110" a="1"/>
  <c r="L102" i="110" s="1"/>
  <c r="H102" i="110" a="1"/>
  <c r="H102" i="110" s="1"/>
  <c r="D102" i="110" a="1"/>
  <c r="D102" i="110" s="1"/>
  <c r="P101" i="110" a="1"/>
  <c r="P101" i="110" s="1"/>
  <c r="L101" i="110" a="1"/>
  <c r="L101" i="110" s="1"/>
  <c r="H101" i="110" a="1"/>
  <c r="H101" i="110" s="1"/>
  <c r="D101" i="110" a="1"/>
  <c r="D101" i="110" s="1"/>
  <c r="P99" i="110" a="1"/>
  <c r="P99" i="110" s="1"/>
  <c r="C101" i="110" a="1"/>
  <c r="C101" i="110" s="1"/>
  <c r="I101" i="110" a="1"/>
  <c r="I101" i="110" s="1"/>
  <c r="N101" i="110" a="1"/>
  <c r="N101" i="110" s="1"/>
  <c r="C102" i="110" a="1"/>
  <c r="C102" i="110" s="1"/>
  <c r="I102" i="110" a="1"/>
  <c r="I102" i="110" s="1"/>
  <c r="N102" i="110" a="1"/>
  <c r="N102" i="110" s="1"/>
  <c r="C103" i="110" a="1"/>
  <c r="C103" i="110" s="1"/>
  <c r="I103" i="110" a="1"/>
  <c r="I103" i="110" s="1"/>
  <c r="N103" i="110" a="1"/>
  <c r="N103" i="110" s="1"/>
  <c r="C104" i="110" a="1"/>
  <c r="C104" i="110" s="1"/>
  <c r="I104" i="110" a="1"/>
  <c r="I104" i="110" s="1"/>
  <c r="N104" i="110" a="1"/>
  <c r="N104" i="110" s="1"/>
  <c r="E103" i="110" a="1"/>
  <c r="E103" i="110" s="1"/>
  <c r="J103" i="110" a="1"/>
  <c r="J103" i="110" s="1"/>
  <c r="O103" i="110" a="1"/>
  <c r="O103" i="110" s="1"/>
  <c r="E104" i="110" a="1"/>
  <c r="E104" i="110" s="1"/>
  <c r="J104" i="110" a="1"/>
  <c r="J104" i="110" s="1"/>
  <c r="O104" i="110" a="1"/>
  <c r="O104" i="110" s="1"/>
  <c r="AC94" i="110"/>
  <c r="AI97" i="110" a="1"/>
  <c r="AI97" i="110" s="1"/>
  <c r="AE97" i="110" a="1"/>
  <c r="AE97" i="110" s="1"/>
  <c r="AA97" i="110" a="1"/>
  <c r="AA97" i="110" s="1"/>
  <c r="W97" i="110" a="1"/>
  <c r="W97" i="110" s="1"/>
  <c r="AI96" i="110" a="1"/>
  <c r="AI96" i="110" s="1"/>
  <c r="AE96" i="110" a="1"/>
  <c r="AE96" i="110" s="1"/>
  <c r="AA96" i="110" a="1"/>
  <c r="AA96" i="110" s="1"/>
  <c r="W96" i="110" a="1"/>
  <c r="W96" i="110" s="1"/>
  <c r="AI95" i="110" a="1"/>
  <c r="AI95" i="110" s="1"/>
  <c r="AE95" i="110" a="1"/>
  <c r="AE95" i="110" s="1"/>
  <c r="AA95" i="110" a="1"/>
  <c r="AA95" i="110" s="1"/>
  <c r="W95" i="110" a="1"/>
  <c r="W95" i="110" s="1"/>
  <c r="AI94" i="110" a="1"/>
  <c r="AI94" i="110" s="1"/>
  <c r="AE94" i="110" a="1"/>
  <c r="AE94" i="110" s="1"/>
  <c r="AA94" i="110" a="1"/>
  <c r="AA94" i="110" s="1"/>
  <c r="W94" i="110" a="1"/>
  <c r="W94" i="110" s="1"/>
  <c r="AH92" i="110" a="1"/>
  <c r="AH92" i="110" s="1"/>
  <c r="U94" i="110" a="1"/>
  <c r="U94" i="110" s="1"/>
  <c r="Z94" i="110" a="1"/>
  <c r="Z94" i="110" s="1"/>
  <c r="AF94" i="110" a="1"/>
  <c r="AF94" i="110" s="1"/>
  <c r="X95" i="110" a="1"/>
  <c r="X95" i="110" s="1"/>
  <c r="AC95" i="110" a="1"/>
  <c r="AC95" i="110" s="1"/>
  <c r="AH95" i="110" a="1"/>
  <c r="AH95" i="110" s="1"/>
  <c r="X96" i="110" a="1"/>
  <c r="X96" i="110" s="1"/>
  <c r="AC96" i="110" a="1"/>
  <c r="AC96" i="110" s="1"/>
  <c r="AH96" i="110" a="1"/>
  <c r="AH96" i="110" s="1"/>
  <c r="X97" i="110" a="1"/>
  <c r="X97" i="110" s="1"/>
  <c r="AC97" i="110" a="1"/>
  <c r="AC97" i="110" s="1"/>
  <c r="AH97" i="110" a="1"/>
  <c r="AH97" i="110" s="1"/>
  <c r="AH104" i="110" a="1"/>
  <c r="AH104" i="110" s="1"/>
  <c r="AD104" i="110" a="1"/>
  <c r="AD104" i="110" s="1"/>
  <c r="Z104" i="110" a="1"/>
  <c r="Z104" i="110" s="1"/>
  <c r="V104" i="110" a="1"/>
  <c r="V104" i="110" s="1"/>
  <c r="AH103" i="110" a="1"/>
  <c r="AH103" i="110" s="1"/>
  <c r="AD103" i="110" a="1"/>
  <c r="AD103" i="110" s="1"/>
  <c r="Z103" i="110" a="1"/>
  <c r="Z103" i="110" s="1"/>
  <c r="V103" i="110" a="1"/>
  <c r="V103" i="110" s="1"/>
  <c r="AH102" i="110" a="1"/>
  <c r="AH102" i="110" s="1"/>
  <c r="AD102" i="110" a="1"/>
  <c r="AD102" i="110" s="1"/>
  <c r="Z102" i="110" a="1"/>
  <c r="Z102" i="110" s="1"/>
  <c r="V102" i="110" a="1"/>
  <c r="V102" i="110" s="1"/>
  <c r="AH101" i="110" a="1"/>
  <c r="AH101" i="110" s="1"/>
  <c r="AD101" i="110" a="1"/>
  <c r="AD101" i="110" s="1"/>
  <c r="Z101" i="110" a="1"/>
  <c r="Z101" i="110" s="1"/>
  <c r="V101" i="110" a="1"/>
  <c r="V101" i="110" s="1"/>
  <c r="F101" i="110" a="1"/>
  <c r="F101" i="110" s="1"/>
  <c r="K101" i="110" a="1"/>
  <c r="K101" i="110" s="1"/>
  <c r="Q101" i="110" a="1"/>
  <c r="Q101" i="110" s="1"/>
  <c r="X101" i="110" a="1"/>
  <c r="X101" i="110" s="1"/>
  <c r="AC101" i="110" a="1"/>
  <c r="AC101" i="110" s="1"/>
  <c r="AI101" i="110" a="1"/>
  <c r="AI101" i="110" s="1"/>
  <c r="F102" i="110" a="1"/>
  <c r="F102" i="110" s="1"/>
  <c r="K102" i="110" a="1"/>
  <c r="K102" i="110" s="1"/>
  <c r="Q102" i="110" a="1"/>
  <c r="Q102" i="110" s="1"/>
  <c r="X102" i="110" a="1"/>
  <c r="X102" i="110" s="1"/>
  <c r="AC102" i="110" a="1"/>
  <c r="AC102" i="110" s="1"/>
  <c r="AI102" i="110" a="1"/>
  <c r="AI102" i="110" s="1"/>
  <c r="F103" i="110" a="1"/>
  <c r="F103" i="110" s="1"/>
  <c r="K103" i="110" a="1"/>
  <c r="K103" i="110" s="1"/>
  <c r="Q103" i="110" a="1"/>
  <c r="Q103" i="110" s="1"/>
  <c r="X103" i="110" a="1"/>
  <c r="X103" i="110" s="1"/>
  <c r="AC103" i="110" a="1"/>
  <c r="AC103" i="110" s="1"/>
  <c r="AI103" i="110" a="1"/>
  <c r="AI103" i="110" s="1"/>
  <c r="F104" i="110" a="1"/>
  <c r="F104" i="110" s="1"/>
  <c r="K104" i="110" a="1"/>
  <c r="K104" i="110" s="1"/>
  <c r="Q104" i="110" a="1"/>
  <c r="Q104" i="110" s="1"/>
  <c r="X104" i="110" a="1"/>
  <c r="X104" i="110" s="1"/>
  <c r="AC104" i="110" a="1"/>
  <c r="AC104" i="110" s="1"/>
  <c r="AI104" i="110" a="1"/>
  <c r="AI104" i="110" s="1"/>
  <c r="V94" i="110" a="1"/>
  <c r="V94" i="110" s="1"/>
  <c r="AB94" i="110" a="1"/>
  <c r="AB94" i="110" s="1"/>
  <c r="AG94" i="110" a="1"/>
  <c r="AG94" i="110" s="1"/>
  <c r="Y95" i="110" a="1"/>
  <c r="Y95" i="110" s="1"/>
  <c r="AD95" i="110" a="1"/>
  <c r="AD95" i="110" s="1"/>
  <c r="AJ95" i="110" a="1"/>
  <c r="AJ95" i="110" s="1"/>
  <c r="Y96" i="110" a="1"/>
  <c r="Y96" i="110" s="1"/>
  <c r="AD96" i="110" a="1"/>
  <c r="AD96" i="110" s="1"/>
  <c r="AJ96" i="110" a="1"/>
  <c r="AJ96" i="110" s="1"/>
  <c r="Y97" i="110" a="1"/>
  <c r="Y97" i="110" s="1"/>
  <c r="AD97" i="110" a="1"/>
  <c r="AD97" i="110" s="1"/>
  <c r="AJ97" i="110" a="1"/>
  <c r="AJ97" i="110" s="1"/>
  <c r="AH99" i="110" a="1"/>
  <c r="AH99" i="110" s="1"/>
  <c r="G101" i="110" a="1"/>
  <c r="G101" i="110" s="1"/>
  <c r="M101" i="110" a="1"/>
  <c r="M101" i="110" s="1"/>
  <c r="R101" i="110" a="1"/>
  <c r="R101" i="110" s="1"/>
  <c r="Y101" i="110" a="1"/>
  <c r="Y101" i="110" s="1"/>
  <c r="AE101" i="110" a="1"/>
  <c r="AE101" i="110" s="1"/>
  <c r="AJ101" i="110" a="1"/>
  <c r="AJ101" i="110" s="1"/>
  <c r="G102" i="110" a="1"/>
  <c r="G102" i="110" s="1"/>
  <c r="M102" i="110" a="1"/>
  <c r="M102" i="110" s="1"/>
  <c r="R102" i="110" a="1"/>
  <c r="R102" i="110" s="1"/>
  <c r="Y102" i="110" a="1"/>
  <c r="Y102" i="110" s="1"/>
  <c r="AE102" i="110" a="1"/>
  <c r="AE102" i="110" s="1"/>
  <c r="AJ102" i="110" a="1"/>
  <c r="AJ102" i="110" s="1"/>
  <c r="G103" i="110" a="1"/>
  <c r="G103" i="110" s="1"/>
  <c r="M103" i="110" a="1"/>
  <c r="M103" i="110" s="1"/>
  <c r="R103" i="110" a="1"/>
  <c r="R103" i="110" s="1"/>
  <c r="Y103" i="110" a="1"/>
  <c r="Y103" i="110" s="1"/>
  <c r="AE103" i="110" a="1"/>
  <c r="AE103" i="110" s="1"/>
  <c r="AJ103" i="110" a="1"/>
  <c r="AJ103" i="110" s="1"/>
  <c r="G104" i="110" a="1"/>
  <c r="G104" i="110" s="1"/>
  <c r="M104" i="110" a="1"/>
  <c r="M104" i="110" s="1"/>
  <c r="R104" i="110" a="1"/>
  <c r="R104" i="110" s="1"/>
  <c r="Y104" i="110" a="1"/>
  <c r="Y104" i="110" s="1"/>
  <c r="AE104" i="110" a="1"/>
  <c r="AE104" i="110" s="1"/>
  <c r="AJ104" i="110" a="1"/>
  <c r="AJ104" i="110" s="1"/>
  <c r="G94" i="110" a="1"/>
  <c r="G94" i="110" s="1"/>
  <c r="J94" i="110" a="1"/>
  <c r="J94" i="110" s="1"/>
  <c r="O94" i="110" a="1"/>
  <c r="O94" i="110" s="1"/>
  <c r="R94" i="110" a="1"/>
  <c r="R94" i="110" s="1"/>
  <c r="D95" i="110" a="1"/>
  <c r="D95" i="110" s="1"/>
  <c r="I95" i="110" a="1"/>
  <c r="I95" i="110" s="1"/>
  <c r="L95" i="110" a="1"/>
  <c r="L95" i="110" s="1"/>
  <c r="Q95" i="110" a="1"/>
  <c r="Q95" i="110" s="1"/>
  <c r="E96" i="110" a="1"/>
  <c r="E96" i="110" s="1"/>
  <c r="I96" i="110" a="1"/>
  <c r="I96" i="110" s="1"/>
  <c r="M96" i="110" a="1"/>
  <c r="M96" i="110" s="1"/>
  <c r="Q96" i="110" a="1"/>
  <c r="Q96" i="110" s="1"/>
  <c r="E97" i="110" a="1"/>
  <c r="E97" i="110" s="1"/>
  <c r="I97" i="110" a="1"/>
  <c r="I97" i="110" s="1"/>
  <c r="M97" i="110" a="1"/>
  <c r="M97" i="110" s="1"/>
  <c r="Q97" i="110" a="1"/>
  <c r="Q97" i="110" s="1"/>
  <c r="E15" i="114"/>
  <c r="E17" i="114" s="1"/>
  <c r="H28" i="114"/>
  <c r="E21" i="114"/>
  <c r="G21" i="114" s="1"/>
  <c r="H44" i="82"/>
  <c r="H42" i="82"/>
  <c r="H40" i="82"/>
  <c r="H38" i="82"/>
  <c r="H36" i="82"/>
  <c r="D42" i="82"/>
  <c r="D41" i="82"/>
  <c r="H37" i="82"/>
  <c r="H41" i="82"/>
  <c r="D38" i="82"/>
  <c r="D37" i="82"/>
  <c r="D39" i="82"/>
  <c r="H35" i="82"/>
  <c r="D44" i="82"/>
  <c r="D35" i="82"/>
  <c r="H43" i="82"/>
  <c r="D40" i="82"/>
  <c r="D43" i="82"/>
  <c r="H39" i="82"/>
  <c r="D36" i="82"/>
  <c r="H14" i="82"/>
  <c r="G14" i="82" s="1"/>
  <c r="F14" i="82" s="1"/>
  <c r="H12" i="82"/>
  <c r="G12" i="82" s="1"/>
  <c r="F12" i="82" s="1"/>
  <c r="H10" i="82"/>
  <c r="G10" i="82" s="1"/>
  <c r="F10" i="82" s="1"/>
  <c r="H13" i="82"/>
  <c r="G13" i="82" s="1"/>
  <c r="F13" i="82" s="1"/>
  <c r="H15" i="82"/>
  <c r="G15" i="82" s="1"/>
  <c r="F15" i="82" s="1"/>
  <c r="H7" i="82"/>
  <c r="G7" i="82" s="1"/>
  <c r="F7" i="82" s="1"/>
  <c r="H11" i="82"/>
  <c r="G11" i="82" s="1"/>
  <c r="F11" i="82" s="1"/>
  <c r="H8" i="82"/>
  <c r="G8" i="82" s="1"/>
  <c r="F8" i="82" s="1"/>
  <c r="H9" i="82"/>
  <c r="G9" i="82" s="1"/>
  <c r="F9" i="82" s="1"/>
  <c r="H6" i="82"/>
  <c r="G6" i="82" s="1"/>
  <c r="F6" i="82" s="1"/>
  <c r="S114" i="79"/>
  <c r="S130" i="79"/>
  <c r="S146" i="79"/>
  <c r="D104" i="98"/>
  <c r="D14" i="82"/>
  <c r="C14" i="82" s="1"/>
  <c r="B14" i="82" s="1"/>
  <c r="D13" i="82"/>
  <c r="C13" i="82" s="1"/>
  <c r="B13" i="82" s="1"/>
  <c r="D9" i="82"/>
  <c r="C9" i="82" s="1"/>
  <c r="B9" i="82" s="1"/>
  <c r="D7" i="82"/>
  <c r="C7" i="82" s="1"/>
  <c r="B7" i="82" s="1"/>
  <c r="D10" i="82"/>
  <c r="C10" i="82" s="1"/>
  <c r="B10" i="82" s="1"/>
  <c r="D8" i="82"/>
  <c r="C8" i="82" s="1"/>
  <c r="B8" i="82" s="1"/>
  <c r="D6" i="82"/>
  <c r="C6" i="82" s="1"/>
  <c r="B6" i="82" s="1"/>
  <c r="D12" i="82"/>
  <c r="C12" i="82" s="1"/>
  <c r="B12" i="82" s="1"/>
  <c r="D15" i="82"/>
  <c r="C15" i="82" s="1"/>
  <c r="B15" i="82" s="1"/>
  <c r="D11" i="82"/>
  <c r="C11" i="82" s="1"/>
  <c r="B11" i="82" s="1"/>
  <c r="S2" i="79"/>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L29" i="82"/>
  <c r="H28" i="82"/>
  <c r="L25" i="82"/>
  <c r="H24" i="82"/>
  <c r="L21" i="82"/>
  <c r="H20" i="82"/>
  <c r="H29" i="82"/>
  <c r="L28" i="82"/>
  <c r="H26" i="82"/>
  <c r="H23" i="82"/>
  <c r="L26" i="82"/>
  <c r="L23" i="82"/>
  <c r="H21" i="82"/>
  <c r="L20" i="82"/>
  <c r="L27" i="82"/>
  <c r="H25" i="82"/>
  <c r="H27" i="82"/>
  <c r="L22" i="82"/>
  <c r="L24" i="82"/>
  <c r="H22" i="82"/>
  <c r="S106" i="79"/>
  <c r="S122" i="79"/>
  <c r="S138" i="79"/>
  <c r="S150" i="79"/>
  <c r="M17" i="98"/>
  <c r="F93" i="101"/>
  <c r="J93" i="101"/>
  <c r="N93" i="101"/>
  <c r="R93" i="101"/>
  <c r="E94" i="101"/>
  <c r="I94" i="101"/>
  <c r="M94" i="101"/>
  <c r="Q94" i="101"/>
  <c r="D95" i="101"/>
  <c r="H95" i="101"/>
  <c r="L95" i="101"/>
  <c r="P95" i="101"/>
  <c r="C96" i="101"/>
  <c r="G96" i="101"/>
  <c r="K96" i="101"/>
  <c r="O96" i="101"/>
  <c r="S96" i="101"/>
  <c r="Q103" i="101" s="1"/>
  <c r="E128" i="101"/>
  <c r="I128" i="101"/>
  <c r="M128" i="101"/>
  <c r="Q128" i="101"/>
  <c r="E129" i="101"/>
  <c r="I129" i="101"/>
  <c r="M129" i="101"/>
  <c r="Q129" i="101"/>
  <c r="E130" i="101"/>
  <c r="I130" i="101"/>
  <c r="M130" i="101"/>
  <c r="Q130" i="101"/>
  <c r="H15" i="114"/>
  <c r="H17" i="114" s="1"/>
  <c r="Y13" i="111"/>
  <c r="AG13" i="111"/>
  <c r="Y25" i="111"/>
  <c r="AG25" i="111"/>
  <c r="Y33" i="111"/>
  <c r="AG33" i="111"/>
  <c r="D21" i="101"/>
  <c r="E21" i="101" s="1"/>
  <c r="G21" i="101" s="1"/>
  <c r="G23" i="101" s="1"/>
  <c r="F28" i="101"/>
  <c r="C93" i="101"/>
  <c r="G93" i="101"/>
  <c r="K93" i="101"/>
  <c r="O93" i="101"/>
  <c r="S93" i="101"/>
  <c r="F94" i="101"/>
  <c r="J94" i="101"/>
  <c r="N94" i="101"/>
  <c r="R94" i="101"/>
  <c r="E95" i="101"/>
  <c r="I95" i="101"/>
  <c r="M95" i="101"/>
  <c r="Q95" i="101"/>
  <c r="D96" i="101"/>
  <c r="H96" i="101"/>
  <c r="L96" i="101"/>
  <c r="P96" i="101"/>
  <c r="F128" i="101"/>
  <c r="J128" i="101"/>
  <c r="N128" i="101"/>
  <c r="R128" i="101"/>
  <c r="F129" i="101"/>
  <c r="J129" i="101"/>
  <c r="N129" i="101"/>
  <c r="R129" i="101"/>
  <c r="F130" i="101"/>
  <c r="J130" i="101"/>
  <c r="N130" i="101"/>
  <c r="R130" i="101"/>
  <c r="D94" i="98"/>
  <c r="D101" i="98" s="1"/>
  <c r="H94" i="98"/>
  <c r="L94" i="98"/>
  <c r="L101" i="98" s="1"/>
  <c r="P94" i="98"/>
  <c r="P101" i="98" s="1"/>
  <c r="C95" i="98"/>
  <c r="C102" i="98" s="1"/>
  <c r="G95" i="98"/>
  <c r="K95" i="98"/>
  <c r="O95" i="98"/>
  <c r="S95" i="98"/>
  <c r="H102" i="98" s="1"/>
  <c r="F96" i="98"/>
  <c r="F103" i="98" s="1"/>
  <c r="J96" i="98"/>
  <c r="J103" i="98" s="1"/>
  <c r="N96" i="98"/>
  <c r="N103" i="98" s="1"/>
  <c r="R96" i="98"/>
  <c r="R103" i="98" s="1"/>
  <c r="E97" i="98"/>
  <c r="E104" i="98" s="1"/>
  <c r="I97" i="98"/>
  <c r="I104" i="98" s="1"/>
  <c r="M97" i="98"/>
  <c r="M104" i="98" s="1"/>
  <c r="Q97" i="98"/>
  <c r="Q104" i="98" s="1"/>
  <c r="E110" i="98"/>
  <c r="I110" i="98"/>
  <c r="M110" i="98"/>
  <c r="Q110" i="98"/>
  <c r="E111" i="98"/>
  <c r="I111" i="98"/>
  <c r="M111" i="98"/>
  <c r="Q111" i="98"/>
  <c r="E112" i="98"/>
  <c r="I112" i="98"/>
  <c r="M112" i="98"/>
  <c r="Q112" i="98"/>
  <c r="E113" i="98"/>
  <c r="I113" i="98"/>
  <c r="M113" i="98"/>
  <c r="Q113" i="98"/>
  <c r="C117" i="98"/>
  <c r="G117" i="98"/>
  <c r="K117" i="98"/>
  <c r="O117" i="98"/>
  <c r="C118" i="98"/>
  <c r="G118" i="98"/>
  <c r="K118" i="98"/>
  <c r="O118" i="98"/>
  <c r="C119" i="98"/>
  <c r="G119" i="98"/>
  <c r="K119" i="98"/>
  <c r="O119" i="98"/>
  <c r="C120" i="98"/>
  <c r="G120" i="98"/>
  <c r="K120" i="98"/>
  <c r="O120" i="98"/>
  <c r="E124" i="98"/>
  <c r="I124" i="98"/>
  <c r="M124" i="98"/>
  <c r="Q124" i="98"/>
  <c r="E125" i="98"/>
  <c r="I125" i="98"/>
  <c r="M125" i="98"/>
  <c r="Q125" i="98"/>
  <c r="E126" i="98"/>
  <c r="I126" i="98"/>
  <c r="M126" i="98"/>
  <c r="Q126" i="98"/>
  <c r="E127" i="98"/>
  <c r="I127" i="98"/>
  <c r="M127" i="98"/>
  <c r="C131" i="98"/>
  <c r="G131" i="98"/>
  <c r="K131" i="98"/>
  <c r="O131" i="98"/>
  <c r="C132" i="98"/>
  <c r="G132" i="98"/>
  <c r="K132" i="98"/>
  <c r="O132" i="98"/>
  <c r="C133" i="98"/>
  <c r="G133" i="98"/>
  <c r="K133" i="98"/>
  <c r="O133" i="98"/>
  <c r="C134" i="98"/>
  <c r="G134" i="98"/>
  <c r="K134" i="98"/>
  <c r="O134" i="98"/>
  <c r="AF13" i="111"/>
  <c r="X13" i="111"/>
  <c r="AJ13" i="111"/>
  <c r="AB13" i="111"/>
  <c r="AF25" i="111"/>
  <c r="X25" i="111"/>
  <c r="AJ25" i="111"/>
  <c r="AB25" i="111"/>
  <c r="AF33" i="111"/>
  <c r="X33" i="111"/>
  <c r="AJ33" i="111"/>
  <c r="AB33" i="111"/>
  <c r="D93" i="101"/>
  <c r="H93" i="101"/>
  <c r="L93" i="101"/>
  <c r="P93" i="101"/>
  <c r="C94" i="101"/>
  <c r="G94" i="101"/>
  <c r="K94" i="101"/>
  <c r="O94" i="101"/>
  <c r="S94" i="101"/>
  <c r="F95" i="101"/>
  <c r="J95" i="101"/>
  <c r="N95" i="101"/>
  <c r="R95" i="101"/>
  <c r="E96" i="101"/>
  <c r="I96" i="101"/>
  <c r="M96" i="101"/>
  <c r="E107" i="101"/>
  <c r="I107" i="101"/>
  <c r="M107" i="101"/>
  <c r="Q107" i="101"/>
  <c r="E108" i="101"/>
  <c r="I108" i="101"/>
  <c r="M108" i="101"/>
  <c r="Q108" i="101"/>
  <c r="E109" i="101"/>
  <c r="I109" i="101"/>
  <c r="M109" i="101"/>
  <c r="Q109" i="101"/>
  <c r="E110" i="101"/>
  <c r="I110" i="101"/>
  <c r="M110" i="101"/>
  <c r="Q110" i="101"/>
  <c r="C114" i="101"/>
  <c r="G114" i="101"/>
  <c r="K114" i="101"/>
  <c r="O114" i="101"/>
  <c r="C115" i="101"/>
  <c r="G115" i="101"/>
  <c r="K115" i="101"/>
  <c r="O115" i="101"/>
  <c r="C116" i="101"/>
  <c r="G116" i="101"/>
  <c r="K116" i="101"/>
  <c r="O116" i="101"/>
  <c r="C117" i="101"/>
  <c r="G117" i="101"/>
  <c r="K117" i="101"/>
  <c r="O117" i="101"/>
  <c r="E121" i="101"/>
  <c r="I121" i="101"/>
  <c r="M121" i="101"/>
  <c r="Q121" i="101"/>
  <c r="E122" i="101"/>
  <c r="I122" i="101"/>
  <c r="M122" i="101"/>
  <c r="Q122" i="101"/>
  <c r="E123" i="101"/>
  <c r="I123" i="101"/>
  <c r="M123" i="101"/>
  <c r="Q123" i="101"/>
  <c r="E124" i="101"/>
  <c r="I124" i="101"/>
  <c r="M124" i="101"/>
  <c r="Q124" i="101"/>
  <c r="C128" i="101"/>
  <c r="G128" i="101"/>
  <c r="K128" i="101"/>
  <c r="O128" i="101"/>
  <c r="C129" i="101"/>
  <c r="G129" i="101"/>
  <c r="K129" i="101"/>
  <c r="O129" i="101"/>
  <c r="C130" i="101"/>
  <c r="G130" i="101"/>
  <c r="K130" i="101"/>
  <c r="C131" i="101"/>
  <c r="G131" i="101"/>
  <c r="K131" i="101"/>
  <c r="F204" i="100"/>
  <c r="AA204" i="100" s="1"/>
  <c r="F203" i="100"/>
  <c r="N203" i="100"/>
  <c r="AI203" i="100" s="1"/>
  <c r="N204" i="100"/>
  <c r="R204" i="100"/>
  <c r="AM204" i="100" s="1"/>
  <c r="R203" i="100"/>
  <c r="J204" i="100"/>
  <c r="AE204" i="100" s="1"/>
  <c r="Y9" i="111"/>
  <c r="AG9" i="111"/>
  <c r="AC13" i="111"/>
  <c r="Y17" i="111"/>
  <c r="AG17" i="111"/>
  <c r="AC25" i="111"/>
  <c r="Y29" i="111"/>
  <c r="AG29" i="111"/>
  <c r="AC33" i="111"/>
  <c r="Y41" i="111"/>
  <c r="AG41" i="111"/>
  <c r="F94" i="98"/>
  <c r="F101" i="98" s="1"/>
  <c r="J94" i="98"/>
  <c r="J101" i="98" s="1"/>
  <c r="N94" i="98"/>
  <c r="N101" i="98" s="1"/>
  <c r="R94" i="98"/>
  <c r="R101" i="98" s="1"/>
  <c r="E95" i="98"/>
  <c r="I95" i="98"/>
  <c r="M95" i="98"/>
  <c r="Q95" i="98"/>
  <c r="D96" i="98"/>
  <c r="D103" i="98" s="1"/>
  <c r="H96" i="98"/>
  <c r="H103" i="98" s="1"/>
  <c r="L96" i="98"/>
  <c r="L103" i="98" s="1"/>
  <c r="P96" i="98"/>
  <c r="P103" i="98" s="1"/>
  <c r="C97" i="98"/>
  <c r="C104" i="98" s="1"/>
  <c r="G97" i="98"/>
  <c r="G104" i="98" s="1"/>
  <c r="K97" i="98"/>
  <c r="K104" i="98" s="1"/>
  <c r="O97" i="98"/>
  <c r="O104" i="98" s="1"/>
  <c r="E131" i="98"/>
  <c r="I131" i="98"/>
  <c r="M131" i="98"/>
  <c r="Q131" i="98"/>
  <c r="E132" i="98"/>
  <c r="I132" i="98"/>
  <c r="M132" i="98"/>
  <c r="Q132" i="98"/>
  <c r="E133" i="98"/>
  <c r="I133" i="98"/>
  <c r="M133" i="98"/>
  <c r="Q133" i="98"/>
  <c r="E134" i="98"/>
  <c r="I134" i="98"/>
  <c r="M134" i="98"/>
  <c r="AF9" i="111"/>
  <c r="X9" i="111"/>
  <c r="AJ9" i="111"/>
  <c r="AB9" i="111"/>
  <c r="AF17" i="111"/>
  <c r="X17" i="111"/>
  <c r="AJ17" i="111"/>
  <c r="AB17" i="111"/>
  <c r="AF29" i="111"/>
  <c r="X29" i="111"/>
  <c r="AJ29" i="111"/>
  <c r="AB29" i="111"/>
  <c r="AF41" i="111"/>
  <c r="X41" i="111"/>
  <c r="AJ41" i="111"/>
  <c r="AB41" i="111"/>
  <c r="S198" i="100"/>
  <c r="K199" i="100"/>
  <c r="I204" i="100"/>
  <c r="AD204" i="100" s="1"/>
  <c r="AC8" i="111"/>
  <c r="AK8" i="111"/>
  <c r="AC12" i="111"/>
  <c r="AK12" i="111"/>
  <c r="AC16" i="111"/>
  <c r="AK16" i="111"/>
  <c r="AC24" i="111"/>
  <c r="AK24" i="111"/>
  <c r="AC28" i="111"/>
  <c r="AK28" i="111"/>
  <c r="AC32" i="111"/>
  <c r="AK32" i="111"/>
  <c r="AC40" i="111"/>
  <c r="AK40" i="111"/>
  <c r="AC44" i="111"/>
  <c r="AK44" i="111"/>
  <c r="AB45" i="111"/>
  <c r="AJ45" i="111"/>
  <c r="AC48" i="111"/>
  <c r="AK48" i="111"/>
  <c r="AB49" i="111"/>
  <c r="AJ49" i="111"/>
  <c r="AC52" i="111"/>
  <c r="AK52" i="111"/>
  <c r="AB56" i="111"/>
  <c r="AJ56" i="111"/>
  <c r="AC59" i="111"/>
  <c r="AK59" i="111"/>
  <c r="AB60" i="111"/>
  <c r="AJ60" i="111"/>
  <c r="AC63" i="111"/>
  <c r="AK63" i="111"/>
  <c r="AB64" i="111"/>
  <c r="AJ64" i="111"/>
  <c r="AC67" i="111"/>
  <c r="AK67" i="111"/>
  <c r="AB68" i="111"/>
  <c r="AJ68" i="111"/>
  <c r="AB10" i="102"/>
  <c r="AJ10" i="102"/>
  <c r="AB11" i="102"/>
  <c r="AJ11" i="102"/>
  <c r="AB12" i="102"/>
  <c r="AJ12" i="102"/>
  <c r="AB13" i="102"/>
  <c r="AJ13" i="102"/>
  <c r="X24" i="102"/>
  <c r="AF24" i="102"/>
  <c r="AC25" i="102"/>
  <c r="AC26" i="102"/>
  <c r="AC45" i="111"/>
  <c r="AK45" i="111"/>
  <c r="AC49" i="111"/>
  <c r="AK49" i="111"/>
  <c r="AC56" i="111"/>
  <c r="AK56" i="111"/>
  <c r="AC60" i="111"/>
  <c r="AK60" i="111"/>
  <c r="AC64" i="111"/>
  <c r="AK64" i="111"/>
  <c r="AC68" i="111"/>
  <c r="AK68" i="111"/>
  <c r="AI27" i="102"/>
  <c r="AE27" i="102"/>
  <c r="AA27" i="102"/>
  <c r="W27" i="102"/>
  <c r="AI26" i="102"/>
  <c r="AE26" i="102"/>
  <c r="AA26" i="102"/>
  <c r="W26" i="102"/>
  <c r="AI25" i="102"/>
  <c r="AE25" i="102"/>
  <c r="AA25" i="102"/>
  <c r="W25" i="102"/>
  <c r="AF27" i="102"/>
  <c r="Z27" i="102"/>
  <c r="U27" i="102"/>
  <c r="AF26" i="102"/>
  <c r="Z26" i="102"/>
  <c r="U26" i="102"/>
  <c r="AF25" i="102"/>
  <c r="Z25" i="102"/>
  <c r="U25" i="102"/>
  <c r="AH24" i="102"/>
  <c r="AD24" i="102"/>
  <c r="Z24" i="102"/>
  <c r="V24" i="102"/>
  <c r="AJ27" i="102"/>
  <c r="AD27" i="102"/>
  <c r="Y27" i="102"/>
  <c r="AJ26" i="102"/>
  <c r="AD26" i="102"/>
  <c r="Y26" i="102"/>
  <c r="AJ25" i="102"/>
  <c r="AD25" i="102"/>
  <c r="Y25" i="102"/>
  <c r="AG24" i="102"/>
  <c r="AC24" i="102"/>
  <c r="Y24" i="102"/>
  <c r="U24" i="102"/>
  <c r="AA24" i="102"/>
  <c r="AI24" i="102"/>
  <c r="V25" i="102"/>
  <c r="AG25" i="102"/>
  <c r="V26" i="102"/>
  <c r="AG26" i="102"/>
  <c r="V27" i="102"/>
  <c r="AG27" i="102"/>
  <c r="K198" i="100"/>
  <c r="AF198" i="100" s="1"/>
  <c r="I199" i="100"/>
  <c r="AD199" i="100" s="1"/>
  <c r="S199" i="100"/>
  <c r="AN199" i="100" s="1"/>
  <c r="S203" i="100"/>
  <c r="AN203" i="100" s="1"/>
  <c r="K204" i="100"/>
  <c r="AF204" i="100" s="1"/>
  <c r="Q204" i="100"/>
  <c r="AL204" i="100" s="1"/>
  <c r="X8" i="111"/>
  <c r="AB8" i="111"/>
  <c r="AF8" i="111"/>
  <c r="AJ8" i="111"/>
  <c r="Y8" i="111"/>
  <c r="W9" i="111"/>
  <c r="AA9" i="111"/>
  <c r="AE9" i="111"/>
  <c r="AI9" i="111"/>
  <c r="X12" i="111"/>
  <c r="AB12" i="111"/>
  <c r="AF12" i="111"/>
  <c r="AJ12" i="111"/>
  <c r="Y12" i="111"/>
  <c r="W13" i="111"/>
  <c r="AA13" i="111"/>
  <c r="AE13" i="111"/>
  <c r="AI13" i="111"/>
  <c r="X16" i="111"/>
  <c r="AB16" i="111"/>
  <c r="AF16" i="111"/>
  <c r="AJ16" i="111"/>
  <c r="Y16" i="111"/>
  <c r="W17" i="111"/>
  <c r="AA17" i="111"/>
  <c r="AE17" i="111"/>
  <c r="AI17" i="111"/>
  <c r="X24" i="111"/>
  <c r="AB24" i="111"/>
  <c r="AF24" i="111"/>
  <c r="AJ24" i="111"/>
  <c r="Y24" i="111"/>
  <c r="W25" i="111"/>
  <c r="AA25" i="111"/>
  <c r="AE25" i="111"/>
  <c r="AI25" i="111"/>
  <c r="X28" i="111"/>
  <c r="AB28" i="111"/>
  <c r="AF28" i="111"/>
  <c r="AJ28" i="111"/>
  <c r="Y28" i="111"/>
  <c r="W29" i="111"/>
  <c r="AA29" i="111"/>
  <c r="AE29" i="111"/>
  <c r="AI29" i="111"/>
  <c r="X32" i="111"/>
  <c r="AB32" i="111"/>
  <c r="AF32" i="111"/>
  <c r="AJ32" i="111"/>
  <c r="Y32" i="111"/>
  <c r="W33" i="111"/>
  <c r="AA33" i="111"/>
  <c r="AE33" i="111"/>
  <c r="AI33" i="111"/>
  <c r="X40" i="111"/>
  <c r="AB40" i="111"/>
  <c r="AF40" i="111"/>
  <c r="AJ40" i="111"/>
  <c r="Y40" i="111"/>
  <c r="W41" i="111"/>
  <c r="AA41" i="111"/>
  <c r="AE41" i="111"/>
  <c r="AI41" i="111"/>
  <c r="X44" i="111"/>
  <c r="AB44" i="111"/>
  <c r="AF44" i="111"/>
  <c r="AJ44" i="111"/>
  <c r="Y44" i="111"/>
  <c r="W45" i="111"/>
  <c r="AA45" i="111"/>
  <c r="AE45" i="111"/>
  <c r="AI45" i="111"/>
  <c r="X45" i="111"/>
  <c r="X48" i="111"/>
  <c r="AB48" i="111"/>
  <c r="AF48" i="111"/>
  <c r="AJ48" i="111"/>
  <c r="Y48" i="111"/>
  <c r="W49" i="111"/>
  <c r="AA49" i="111"/>
  <c r="AE49" i="111"/>
  <c r="AI49" i="111"/>
  <c r="X49" i="111"/>
  <c r="X52" i="111"/>
  <c r="AB52" i="111"/>
  <c r="AF52" i="111"/>
  <c r="AJ52" i="111"/>
  <c r="Y52" i="111"/>
  <c r="W56" i="111"/>
  <c r="AA56" i="111"/>
  <c r="AE56" i="111"/>
  <c r="AI56" i="111"/>
  <c r="X56" i="111"/>
  <c r="X59" i="111"/>
  <c r="AB59" i="111"/>
  <c r="AF59" i="111"/>
  <c r="AJ59" i="111"/>
  <c r="Y59" i="111"/>
  <c r="W60" i="111"/>
  <c r="AA60" i="111"/>
  <c r="AE60" i="111"/>
  <c r="AI60" i="111"/>
  <c r="X60" i="111"/>
  <c r="AF60" i="111"/>
  <c r="X63" i="111"/>
  <c r="AB63" i="111"/>
  <c r="AF63" i="111"/>
  <c r="AJ63" i="111"/>
  <c r="Y63" i="111"/>
  <c r="W64" i="111"/>
  <c r="AA64" i="111"/>
  <c r="AE64" i="111"/>
  <c r="AI64" i="111"/>
  <c r="X64" i="111"/>
  <c r="AF64" i="111"/>
  <c r="X67" i="111"/>
  <c r="AB67" i="111"/>
  <c r="AF67" i="111"/>
  <c r="AJ67" i="111"/>
  <c r="Y67" i="111"/>
  <c r="W68" i="111"/>
  <c r="AA68" i="111"/>
  <c r="AE68" i="111"/>
  <c r="AI68" i="111"/>
  <c r="X68" i="111"/>
  <c r="AF68" i="111"/>
  <c r="X10" i="102"/>
  <c r="AF10" i="102"/>
  <c r="X11" i="102"/>
  <c r="AF11" i="102"/>
  <c r="X12" i="102"/>
  <c r="AF12" i="102"/>
  <c r="X13" i="102"/>
  <c r="AH20" i="102"/>
  <c r="AD20" i="102"/>
  <c r="Z20" i="102"/>
  <c r="V20" i="102"/>
  <c r="AH19" i="102"/>
  <c r="AD19" i="102"/>
  <c r="Z19" i="102"/>
  <c r="V19" i="102"/>
  <c r="AH18" i="102"/>
  <c r="AD18" i="102"/>
  <c r="Z18" i="102"/>
  <c r="V18" i="102"/>
  <c r="AH17" i="102"/>
  <c r="AD17" i="102"/>
  <c r="Z17" i="102"/>
  <c r="V17" i="102"/>
  <c r="AG20" i="102"/>
  <c r="AC20" i="102"/>
  <c r="Y20" i="102"/>
  <c r="U20" i="102"/>
  <c r="AG19" i="102"/>
  <c r="AC19" i="102"/>
  <c r="Y19" i="102"/>
  <c r="U19" i="102"/>
  <c r="AG18" i="102"/>
  <c r="AC18" i="102"/>
  <c r="Y18" i="102"/>
  <c r="U18" i="102"/>
  <c r="AG17" i="102"/>
  <c r="AC17" i="102"/>
  <c r="Y17" i="102"/>
  <c r="U17" i="102"/>
  <c r="AA17" i="102"/>
  <c r="AI17" i="102"/>
  <c r="AA18" i="102"/>
  <c r="AI18" i="102"/>
  <c r="AA19" i="102"/>
  <c r="AI19" i="102"/>
  <c r="AA20" i="102"/>
  <c r="AI20" i="102"/>
  <c r="AH22" i="102"/>
  <c r="AB24" i="102"/>
  <c r="AJ24" i="102"/>
  <c r="X25" i="102"/>
  <c r="AH25" i="102"/>
  <c r="X26" i="102"/>
  <c r="AH26" i="102"/>
  <c r="X27" i="102"/>
  <c r="AH27" i="102"/>
  <c r="G198" i="100"/>
  <c r="AB198" i="100" s="1"/>
  <c r="O199" i="100"/>
  <c r="AJ199" i="100" s="1"/>
  <c r="M204" i="100"/>
  <c r="AH204" i="100" s="1"/>
  <c r="Y60" i="111"/>
  <c r="Y64" i="111"/>
  <c r="Y68" i="111"/>
  <c r="AH13" i="102"/>
  <c r="AD13" i="102"/>
  <c r="Z13" i="102"/>
  <c r="V13" i="102"/>
  <c r="AH12" i="102"/>
  <c r="AD12" i="102"/>
  <c r="Z12" i="102"/>
  <c r="V12" i="102"/>
  <c r="AH11" i="102"/>
  <c r="AD11" i="102"/>
  <c r="Z11" i="102"/>
  <c r="V11" i="102"/>
  <c r="AH10" i="102"/>
  <c r="AD10" i="102"/>
  <c r="Z10" i="102"/>
  <c r="V10" i="102"/>
  <c r="AG13" i="102"/>
  <c r="AC13" i="102"/>
  <c r="Y13" i="102"/>
  <c r="U13" i="102"/>
  <c r="AG12" i="102"/>
  <c r="AC12" i="102"/>
  <c r="Y12" i="102"/>
  <c r="U12" i="102"/>
  <c r="AG11" i="102"/>
  <c r="AC11" i="102"/>
  <c r="Y11" i="102"/>
  <c r="U11" i="102"/>
  <c r="AG10" i="102"/>
  <c r="AC10" i="102"/>
  <c r="Y10" i="102"/>
  <c r="U10" i="102"/>
  <c r="AA10" i="102"/>
  <c r="AI10" i="102"/>
  <c r="AA11" i="102"/>
  <c r="AI11" i="102"/>
  <c r="AA12" i="102"/>
  <c r="AI12" i="102"/>
  <c r="AA13" i="102"/>
  <c r="AI13" i="102"/>
  <c r="W24" i="102"/>
  <c r="AE24" i="102"/>
  <c r="AB25" i="102"/>
  <c r="AB26" i="102"/>
  <c r="AB27" i="102"/>
  <c r="D8" i="81"/>
  <c r="K11" i="81"/>
  <c r="E11" i="81"/>
  <c r="G11" i="81"/>
  <c r="J11" i="81"/>
  <c r="C11" i="81"/>
  <c r="D12" i="81"/>
  <c r="K15" i="81"/>
  <c r="E15" i="81"/>
  <c r="G15" i="81"/>
  <c r="J15" i="81"/>
  <c r="C15" i="81"/>
  <c r="D16" i="81"/>
  <c r="K19" i="81"/>
  <c r="E19" i="81"/>
  <c r="G19" i="81"/>
  <c r="J19" i="81"/>
  <c r="C19" i="81"/>
  <c r="D20" i="81"/>
  <c r="K23" i="81"/>
  <c r="E23" i="81"/>
  <c r="G23" i="81"/>
  <c r="J23" i="81"/>
  <c r="C23" i="81"/>
  <c r="D24" i="81"/>
  <c r="K27" i="81"/>
  <c r="E27" i="81"/>
  <c r="G27" i="81"/>
  <c r="J27" i="81"/>
  <c r="C27" i="81"/>
  <c r="D28" i="81"/>
  <c r="K31" i="81"/>
  <c r="E31" i="81"/>
  <c r="G31" i="81"/>
  <c r="J31" i="81"/>
  <c r="C31" i="81"/>
  <c r="D32" i="81"/>
  <c r="H41" i="81"/>
  <c r="J46" i="81"/>
  <c r="C10" i="102"/>
  <c r="G10" i="102"/>
  <c r="K10" i="102"/>
  <c r="O10" i="102"/>
  <c r="C11" i="102"/>
  <c r="G11" i="102"/>
  <c r="K11" i="102"/>
  <c r="O11" i="102"/>
  <c r="C12" i="102"/>
  <c r="G12" i="102"/>
  <c r="K12" i="102"/>
  <c r="O12" i="102"/>
  <c r="C13" i="102"/>
  <c r="G13" i="102"/>
  <c r="K13" i="102"/>
  <c r="O13" i="102"/>
  <c r="C17" i="102"/>
  <c r="G17" i="102"/>
  <c r="K17" i="102"/>
  <c r="O17" i="102"/>
  <c r="C18" i="102"/>
  <c r="G18" i="102"/>
  <c r="K18" i="102"/>
  <c r="O18" i="102"/>
  <c r="C19" i="102"/>
  <c r="G19" i="102"/>
  <c r="K19" i="102"/>
  <c r="O19" i="102"/>
  <c r="C20" i="102"/>
  <c r="G20" i="102"/>
  <c r="K20" i="102"/>
  <c r="O20" i="102"/>
  <c r="Q27" i="102"/>
  <c r="M27" i="102"/>
  <c r="I27" i="102"/>
  <c r="E27" i="102"/>
  <c r="Q26" i="102"/>
  <c r="M26" i="102"/>
  <c r="I26" i="102"/>
  <c r="E26" i="102"/>
  <c r="Q25" i="102"/>
  <c r="M25" i="102"/>
  <c r="I25" i="102"/>
  <c r="C24" i="102"/>
  <c r="G24" i="102"/>
  <c r="K24" i="102"/>
  <c r="O24" i="102"/>
  <c r="C25" i="102"/>
  <c r="G25" i="102"/>
  <c r="L25" i="102"/>
  <c r="R25" i="102"/>
  <c r="G26" i="102"/>
  <c r="L26" i="102"/>
  <c r="R26" i="102"/>
  <c r="G27" i="102"/>
  <c r="L27" i="102"/>
  <c r="R27" i="102"/>
  <c r="K10" i="81"/>
  <c r="E10" i="81"/>
  <c r="J10" i="81"/>
  <c r="C10" i="81"/>
  <c r="G10" i="81"/>
  <c r="D11" i="81"/>
  <c r="K14" i="81"/>
  <c r="E14" i="81"/>
  <c r="J14" i="81"/>
  <c r="C14" i="81"/>
  <c r="G14" i="81"/>
  <c r="D15" i="81"/>
  <c r="K18" i="81"/>
  <c r="E18" i="81"/>
  <c r="J18" i="81"/>
  <c r="C18" i="81"/>
  <c r="G18" i="81"/>
  <c r="D19" i="81"/>
  <c r="K22" i="81"/>
  <c r="E22" i="81"/>
  <c r="J22" i="81"/>
  <c r="C22" i="81"/>
  <c r="G22" i="81"/>
  <c r="D23" i="81"/>
  <c r="K26" i="81"/>
  <c r="E26" i="81"/>
  <c r="J26" i="81"/>
  <c r="C26" i="81"/>
  <c r="G26" i="81"/>
  <c r="D27" i="81"/>
  <c r="K30" i="81"/>
  <c r="E30" i="81"/>
  <c r="J30" i="81"/>
  <c r="C30" i="81"/>
  <c r="G30" i="81"/>
  <c r="D31" i="81"/>
  <c r="K34" i="81"/>
  <c r="E34" i="81"/>
  <c r="J34" i="81"/>
  <c r="C34" i="81"/>
  <c r="G34" i="81"/>
  <c r="J41" i="81"/>
  <c r="H44" i="81"/>
  <c r="P8" i="102"/>
  <c r="D10" i="102"/>
  <c r="H10" i="102"/>
  <c r="L10" i="102"/>
  <c r="P10" i="102"/>
  <c r="D11" i="102"/>
  <c r="H11" i="102"/>
  <c r="L11" i="102"/>
  <c r="P11" i="102"/>
  <c r="D12" i="102"/>
  <c r="H12" i="102"/>
  <c r="L12" i="102"/>
  <c r="P12" i="102"/>
  <c r="D13" i="102"/>
  <c r="H13" i="102"/>
  <c r="L13" i="102"/>
  <c r="P15" i="102"/>
  <c r="D17" i="102"/>
  <c r="H17" i="102"/>
  <c r="L17" i="102"/>
  <c r="P17" i="102"/>
  <c r="D18" i="102"/>
  <c r="H18" i="102"/>
  <c r="L18" i="102"/>
  <c r="P18" i="102"/>
  <c r="D19" i="102"/>
  <c r="H19" i="102"/>
  <c r="L19" i="102"/>
  <c r="P19" i="102"/>
  <c r="D20" i="102"/>
  <c r="H20" i="102"/>
  <c r="L20" i="102"/>
  <c r="P22" i="102"/>
  <c r="D24" i="102"/>
  <c r="H24" i="102"/>
  <c r="L24" i="102"/>
  <c r="P24" i="102"/>
  <c r="D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N62" i="102"/>
  <c r="H62" i="102"/>
  <c r="C62" i="102"/>
  <c r="N61" i="102"/>
  <c r="H61" i="102"/>
  <c r="C61" i="102"/>
  <c r="N60" i="102"/>
  <c r="H60" i="102"/>
  <c r="C60" i="102"/>
  <c r="N59" i="102"/>
  <c r="I59" i="102"/>
  <c r="E59" i="102"/>
  <c r="C59" i="102"/>
  <c r="H59" i="102"/>
  <c r="O59" i="102"/>
  <c r="D60" i="102"/>
  <c r="K60" i="102"/>
  <c r="R60" i="102"/>
  <c r="G61" i="102"/>
  <c r="O61" i="102"/>
  <c r="D62" i="102"/>
  <c r="K62" i="102"/>
  <c r="R62" i="102"/>
  <c r="K9" i="81"/>
  <c r="E9" i="81"/>
  <c r="G9" i="81"/>
  <c r="J9" i="81"/>
  <c r="C9" i="81"/>
  <c r="D10" i="81"/>
  <c r="H11" i="81"/>
  <c r="K13" i="81"/>
  <c r="E13" i="81"/>
  <c r="G13" i="81"/>
  <c r="J13" i="81"/>
  <c r="C13" i="81"/>
  <c r="D14" i="81"/>
  <c r="H15" i="81"/>
  <c r="K17" i="81"/>
  <c r="E17" i="81"/>
  <c r="G17" i="81"/>
  <c r="J17" i="81"/>
  <c r="C17" i="81"/>
  <c r="D18" i="81"/>
  <c r="H19" i="81"/>
  <c r="K21" i="81"/>
  <c r="E21" i="81"/>
  <c r="G21" i="81"/>
  <c r="J21" i="81"/>
  <c r="C21" i="81"/>
  <c r="D22" i="81"/>
  <c r="H23" i="81"/>
  <c r="K25" i="81"/>
  <c r="E25" i="81"/>
  <c r="G25" i="81"/>
  <c r="J25" i="81"/>
  <c r="C25" i="81"/>
  <c r="D26" i="81"/>
  <c r="H27" i="81"/>
  <c r="K29" i="81"/>
  <c r="E29" i="81"/>
  <c r="G29" i="81"/>
  <c r="J29" i="81"/>
  <c r="C29" i="81"/>
  <c r="D30" i="81"/>
  <c r="H31" i="81"/>
  <c r="K33" i="81"/>
  <c r="E33" i="81"/>
  <c r="G33" i="81"/>
  <c r="J33" i="81"/>
  <c r="C33" i="81"/>
  <c r="D34" i="81"/>
  <c r="H39" i="81"/>
  <c r="J40" i="81"/>
  <c r="H43" i="81"/>
  <c r="J44" i="81"/>
  <c r="H47" i="81"/>
  <c r="K8" i="81"/>
  <c r="E8" i="81"/>
  <c r="J8" i="81"/>
  <c r="C8" i="81"/>
  <c r="G8" i="81"/>
  <c r="K12" i="81"/>
  <c r="E12" i="81"/>
  <c r="J12" i="81"/>
  <c r="C12" i="81"/>
  <c r="G12" i="81"/>
  <c r="K16" i="81"/>
  <c r="E16" i="81"/>
  <c r="J16" i="81"/>
  <c r="C16" i="81"/>
  <c r="G16" i="81"/>
  <c r="K20" i="81"/>
  <c r="E20" i="81"/>
  <c r="J20" i="81"/>
  <c r="C20" i="81"/>
  <c r="G20" i="81"/>
  <c r="K24" i="81"/>
  <c r="E24" i="81"/>
  <c r="J24" i="81"/>
  <c r="C24" i="81"/>
  <c r="G24" i="81"/>
  <c r="K28" i="81"/>
  <c r="E28" i="81"/>
  <c r="J28" i="81"/>
  <c r="C28" i="81"/>
  <c r="G28" i="81"/>
  <c r="K32" i="81"/>
  <c r="E32" i="81"/>
  <c r="J32" i="81"/>
  <c r="C32" i="81"/>
  <c r="G32" i="81"/>
  <c r="J43" i="81"/>
  <c r="G74" i="81"/>
  <c r="G75" i="81"/>
  <c r="C75" i="81"/>
  <c r="G82" i="81"/>
  <c r="G83" i="81"/>
  <c r="C83" i="81"/>
  <c r="G90" i="81"/>
  <c r="G91" i="81"/>
  <c r="C91" i="81"/>
  <c r="G98" i="81"/>
  <c r="G100" i="81"/>
  <c r="G102" i="81"/>
  <c r="G104" i="81"/>
  <c r="G106" i="81"/>
  <c r="G108" i="81"/>
  <c r="G110" i="81"/>
  <c r="G112" i="81"/>
  <c r="G114" i="81"/>
  <c r="G116" i="81"/>
  <c r="G118" i="81"/>
  <c r="G120" i="81"/>
  <c r="G122" i="81"/>
  <c r="G124" i="81"/>
  <c r="H124" i="81" s="1"/>
  <c r="F10" i="107"/>
  <c r="K10" i="107"/>
  <c r="P10" i="107"/>
  <c r="F11" i="107"/>
  <c r="K11" i="107"/>
  <c r="P11" i="107"/>
  <c r="F12" i="107"/>
  <c r="K12" i="107"/>
  <c r="P12" i="107"/>
  <c r="F13" i="107"/>
  <c r="K13" i="107"/>
  <c r="P13" i="107"/>
  <c r="F17" i="107"/>
  <c r="K17" i="107"/>
  <c r="P17" i="107"/>
  <c r="F18" i="107"/>
  <c r="K18" i="107"/>
  <c r="P18" i="107"/>
  <c r="F19" i="107"/>
  <c r="K19" i="107"/>
  <c r="P19" i="107"/>
  <c r="F20" i="107"/>
  <c r="K20" i="107"/>
  <c r="P20" i="107"/>
  <c r="F24" i="107"/>
  <c r="K24" i="107"/>
  <c r="P24" i="107"/>
  <c r="F25" i="107"/>
  <c r="K25" i="107"/>
  <c r="P25" i="107"/>
  <c r="F26" i="107"/>
  <c r="K26" i="107"/>
  <c r="P26" i="107"/>
  <c r="F27" i="107"/>
  <c r="K27" i="107"/>
  <c r="P27" i="107"/>
  <c r="F31" i="107"/>
  <c r="K31" i="107"/>
  <c r="P31" i="107"/>
  <c r="F32" i="107"/>
  <c r="K32" i="107"/>
  <c r="P32" i="107"/>
  <c r="F33" i="107"/>
  <c r="K33" i="107"/>
  <c r="P33" i="107"/>
  <c r="F34" i="107"/>
  <c r="K34" i="107"/>
  <c r="P34" i="107"/>
  <c r="F38" i="107"/>
  <c r="K38" i="107"/>
  <c r="P38" i="107"/>
  <c r="F39" i="107"/>
  <c r="K39" i="107"/>
  <c r="P39" i="107"/>
  <c r="F40" i="107"/>
  <c r="K40" i="107"/>
  <c r="P40" i="107"/>
  <c r="F41" i="107"/>
  <c r="K41" i="107"/>
  <c r="P41" i="107"/>
  <c r="F45" i="107"/>
  <c r="K45" i="107"/>
  <c r="P45" i="107"/>
  <c r="F46" i="107"/>
  <c r="K46" i="107"/>
  <c r="P46" i="107"/>
  <c r="F47" i="107"/>
  <c r="K47" i="107"/>
  <c r="P47" i="107"/>
  <c r="F48" i="107"/>
  <c r="K48" i="107"/>
  <c r="P48" i="107"/>
  <c r="F52" i="107"/>
  <c r="K52" i="107"/>
  <c r="P52" i="107"/>
  <c r="F53" i="107"/>
  <c r="K53" i="107"/>
  <c r="P53" i="107"/>
  <c r="F54" i="107"/>
  <c r="K54" i="107"/>
  <c r="P54" i="107"/>
  <c r="F55" i="107"/>
  <c r="K55" i="107"/>
  <c r="P55" i="107"/>
  <c r="F59" i="107"/>
  <c r="K59" i="107"/>
  <c r="P59" i="107"/>
  <c r="F60" i="107"/>
  <c r="K60" i="107"/>
  <c r="P60" i="107"/>
  <c r="F61" i="107"/>
  <c r="K61" i="107"/>
  <c r="P61" i="107"/>
  <c r="F62" i="107"/>
  <c r="K62" i="107"/>
  <c r="P62" i="107"/>
  <c r="F66" i="107"/>
  <c r="K66" i="107"/>
  <c r="P66" i="107"/>
  <c r="F67" i="107"/>
  <c r="K67" i="107"/>
  <c r="P67" i="107"/>
  <c r="F68" i="107"/>
  <c r="K68" i="107"/>
  <c r="P68" i="107"/>
  <c r="F69" i="107"/>
  <c r="K69" i="107"/>
  <c r="P69" i="107"/>
  <c r="F73" i="107"/>
  <c r="K73" i="107"/>
  <c r="P73" i="107"/>
  <c r="F74" i="107"/>
  <c r="K74" i="107"/>
  <c r="P74" i="107"/>
  <c r="F75" i="107"/>
  <c r="K75" i="107"/>
  <c r="P75" i="107"/>
  <c r="F76" i="107"/>
  <c r="K76" i="107"/>
  <c r="P76" i="107"/>
  <c r="F80" i="107"/>
  <c r="K80" i="107"/>
  <c r="P80" i="107"/>
  <c r="E81" i="107"/>
  <c r="M81" i="107"/>
  <c r="I82" i="107"/>
  <c r="P82" i="107"/>
  <c r="E83" i="107"/>
  <c r="M83" i="107"/>
  <c r="J49" i="81"/>
  <c r="J53" i="81"/>
  <c r="J57" i="81"/>
  <c r="E68" i="81"/>
  <c r="K69" i="81"/>
  <c r="F70" i="81"/>
  <c r="G72" i="81"/>
  <c r="H72" i="81" s="1"/>
  <c r="G73" i="81"/>
  <c r="H73" i="81" s="1"/>
  <c r="C73" i="81"/>
  <c r="E73" i="81" s="1"/>
  <c r="C74" i="81"/>
  <c r="D75" i="81"/>
  <c r="I75" i="81"/>
  <c r="E76" i="81"/>
  <c r="K77" i="81"/>
  <c r="F78" i="81"/>
  <c r="G80" i="81"/>
  <c r="H80" i="81" s="1"/>
  <c r="G81" i="81"/>
  <c r="H81" i="81" s="1"/>
  <c r="C81" i="81"/>
  <c r="E81" i="81" s="1"/>
  <c r="C82" i="81"/>
  <c r="D83" i="81"/>
  <c r="I83" i="81"/>
  <c r="K85" i="81"/>
  <c r="F86" i="81"/>
  <c r="G88" i="81"/>
  <c r="H88" i="81" s="1"/>
  <c r="G89" i="81"/>
  <c r="H89" i="81" s="1"/>
  <c r="C89" i="81"/>
  <c r="E89" i="81" s="1"/>
  <c r="C90" i="81"/>
  <c r="D91" i="81"/>
  <c r="I91" i="81"/>
  <c r="F94" i="81"/>
  <c r="F97" i="81"/>
  <c r="C98" i="81"/>
  <c r="C100" i="81"/>
  <c r="C102" i="81"/>
  <c r="C104" i="81"/>
  <c r="C106" i="81"/>
  <c r="C108" i="81"/>
  <c r="C110" i="81"/>
  <c r="C112" i="81"/>
  <c r="C114" i="81"/>
  <c r="C116" i="81"/>
  <c r="C118" i="81"/>
  <c r="C120" i="81"/>
  <c r="C122" i="81"/>
  <c r="C124" i="81"/>
  <c r="F124" i="81" s="1"/>
  <c r="G10" i="107"/>
  <c r="L10" i="107"/>
  <c r="R10" i="107"/>
  <c r="G11" i="107"/>
  <c r="L11" i="107"/>
  <c r="R11" i="107"/>
  <c r="G12" i="107"/>
  <c r="L12" i="107"/>
  <c r="R12" i="107"/>
  <c r="G13" i="107"/>
  <c r="L13" i="107"/>
  <c r="G17" i="107"/>
  <c r="L17" i="107"/>
  <c r="R17" i="107"/>
  <c r="G18" i="107"/>
  <c r="L18" i="107"/>
  <c r="R18" i="107"/>
  <c r="G19" i="107"/>
  <c r="L19" i="107"/>
  <c r="R19" i="107"/>
  <c r="G20" i="107"/>
  <c r="L20" i="107"/>
  <c r="G24" i="107"/>
  <c r="L24" i="107"/>
  <c r="R24" i="107"/>
  <c r="G25" i="107"/>
  <c r="L25" i="107"/>
  <c r="R25" i="107"/>
  <c r="G26" i="107"/>
  <c r="L26" i="107"/>
  <c r="R26" i="107"/>
  <c r="G27" i="107"/>
  <c r="L27" i="107"/>
  <c r="G31" i="107"/>
  <c r="L31" i="107"/>
  <c r="R31" i="107"/>
  <c r="G32" i="107"/>
  <c r="L32" i="107"/>
  <c r="R32" i="107"/>
  <c r="G33" i="107"/>
  <c r="L33" i="107"/>
  <c r="R33" i="107"/>
  <c r="G34" i="107"/>
  <c r="L34" i="107"/>
  <c r="G38" i="107"/>
  <c r="L38" i="107"/>
  <c r="R38" i="107"/>
  <c r="G39" i="107"/>
  <c r="L39" i="107"/>
  <c r="R39" i="107"/>
  <c r="G40" i="107"/>
  <c r="L40" i="107"/>
  <c r="R40" i="107"/>
  <c r="G41" i="107"/>
  <c r="L41" i="107"/>
  <c r="G45" i="107"/>
  <c r="L45" i="107"/>
  <c r="R45" i="107"/>
  <c r="G46" i="107"/>
  <c r="L46" i="107"/>
  <c r="R46" i="107"/>
  <c r="G47" i="107"/>
  <c r="L47" i="107"/>
  <c r="R47" i="107"/>
  <c r="G48" i="107"/>
  <c r="L48" i="107"/>
  <c r="G52" i="107"/>
  <c r="L52" i="107"/>
  <c r="R52" i="107"/>
  <c r="G53" i="107"/>
  <c r="L53" i="107"/>
  <c r="R53" i="107"/>
  <c r="G54" i="107"/>
  <c r="L54" i="107"/>
  <c r="R54" i="107"/>
  <c r="G55" i="107"/>
  <c r="L55" i="107"/>
  <c r="G59" i="107"/>
  <c r="L59" i="107"/>
  <c r="R59" i="107"/>
  <c r="G60" i="107"/>
  <c r="L60" i="107"/>
  <c r="R60" i="107"/>
  <c r="G61" i="107"/>
  <c r="L61" i="107"/>
  <c r="R61" i="107"/>
  <c r="G62" i="107"/>
  <c r="L62" i="107"/>
  <c r="G66" i="107"/>
  <c r="L66" i="107"/>
  <c r="R66" i="107"/>
  <c r="G67" i="107"/>
  <c r="L67" i="107"/>
  <c r="R67" i="107"/>
  <c r="G68" i="107"/>
  <c r="L68" i="107"/>
  <c r="R68" i="107"/>
  <c r="G69" i="107"/>
  <c r="L69" i="107"/>
  <c r="G73" i="107"/>
  <c r="L73" i="107"/>
  <c r="R73" i="107"/>
  <c r="G74" i="107"/>
  <c r="L74" i="107"/>
  <c r="R74" i="107"/>
  <c r="G75" i="107"/>
  <c r="L75" i="107"/>
  <c r="R75" i="107"/>
  <c r="G76" i="107"/>
  <c r="L76" i="107"/>
  <c r="G80" i="107"/>
  <c r="L80" i="107"/>
  <c r="R80" i="107"/>
  <c r="H81" i="107"/>
  <c r="N81" i="107"/>
  <c r="D82" i="107"/>
  <c r="J82" i="107"/>
  <c r="R82" i="107"/>
  <c r="H83" i="107"/>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AI62" i="102"/>
  <c r="AE62" i="102"/>
  <c r="AA62" i="102"/>
  <c r="W62" i="102"/>
  <c r="AI61" i="102"/>
  <c r="AE61" i="102"/>
  <c r="AA61" i="102"/>
  <c r="W61" i="102"/>
  <c r="AI60" i="102"/>
  <c r="AE60" i="102"/>
  <c r="AA60" i="102"/>
  <c r="W60" i="102"/>
  <c r="AI59" i="102"/>
  <c r="AE59" i="102"/>
  <c r="AA59" i="102"/>
  <c r="W59" i="102"/>
  <c r="U59" i="102"/>
  <c r="Z59" i="102"/>
  <c r="AF59" i="102"/>
  <c r="U60" i="102"/>
  <c r="Z60" i="102"/>
  <c r="AF60" i="102"/>
  <c r="U61" i="102"/>
  <c r="Z61" i="102"/>
  <c r="AF61" i="102"/>
  <c r="U62" i="102"/>
  <c r="Z62" i="102"/>
  <c r="AF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Q13" i="105"/>
  <c r="M13" i="105"/>
  <c r="I13" i="105"/>
  <c r="E13" i="105"/>
  <c r="Q12" i="105"/>
  <c r="M12" i="105"/>
  <c r="I12" i="105"/>
  <c r="E12" i="105"/>
  <c r="Q11" i="105"/>
  <c r="M11" i="105"/>
  <c r="I11" i="105"/>
  <c r="E11" i="105"/>
  <c r="Q10" i="105"/>
  <c r="M10" i="105"/>
  <c r="I10" i="105"/>
  <c r="E10" i="105"/>
  <c r="C10" i="105"/>
  <c r="H10" i="105"/>
  <c r="N10" i="105"/>
  <c r="C11" i="105"/>
  <c r="H11" i="105"/>
  <c r="N11" i="105"/>
  <c r="C12" i="105"/>
  <c r="H12" i="105"/>
  <c r="N12" i="105"/>
  <c r="C13" i="105"/>
  <c r="H13" i="105"/>
  <c r="N13" i="105"/>
  <c r="Q20" i="105"/>
  <c r="M20" i="105"/>
  <c r="I20" i="105"/>
  <c r="E20" i="105"/>
  <c r="Q19" i="105"/>
  <c r="M19" i="105"/>
  <c r="I19" i="105"/>
  <c r="E19" i="105"/>
  <c r="Q18" i="105"/>
  <c r="M18" i="105"/>
  <c r="I18" i="105"/>
  <c r="E18" i="105"/>
  <c r="Q17" i="105"/>
  <c r="M17" i="105"/>
  <c r="I17" i="105"/>
  <c r="E17" i="105"/>
  <c r="C17" i="105"/>
  <c r="H17" i="105"/>
  <c r="N17" i="105"/>
  <c r="C18" i="105"/>
  <c r="H18" i="105"/>
  <c r="N18" i="105"/>
  <c r="C19" i="105"/>
  <c r="H19" i="105"/>
  <c r="N19" i="105"/>
  <c r="C20" i="105"/>
  <c r="H20" i="105"/>
  <c r="N20" i="105"/>
  <c r="Q27" i="105"/>
  <c r="M27" i="105"/>
  <c r="I27" i="105"/>
  <c r="E27" i="105"/>
  <c r="Q26" i="105"/>
  <c r="M26" i="105"/>
  <c r="I26" i="105"/>
  <c r="E26" i="105"/>
  <c r="Q25" i="105"/>
  <c r="M25" i="105"/>
  <c r="I25" i="105"/>
  <c r="E25" i="105"/>
  <c r="Q24" i="105"/>
  <c r="M24" i="105"/>
  <c r="I24" i="105"/>
  <c r="E24" i="105"/>
  <c r="C24" i="105"/>
  <c r="H24" i="105"/>
  <c r="N24" i="105"/>
  <c r="C25" i="105"/>
  <c r="H25" i="105"/>
  <c r="N25" i="105"/>
  <c r="C26" i="105"/>
  <c r="H26" i="105"/>
  <c r="N26" i="105"/>
  <c r="C27" i="105"/>
  <c r="H27" i="105"/>
  <c r="N27" i="105"/>
  <c r="Q34" i="105"/>
  <c r="M34" i="105"/>
  <c r="I34" i="105"/>
  <c r="E34" i="105"/>
  <c r="Q33" i="105"/>
  <c r="M33" i="105"/>
  <c r="I33" i="105"/>
  <c r="E33" i="105"/>
  <c r="Q32" i="105"/>
  <c r="M32" i="105"/>
  <c r="I32" i="105"/>
  <c r="E32" i="105"/>
  <c r="Q31" i="105"/>
  <c r="M31" i="105"/>
  <c r="I31" i="105"/>
  <c r="E31" i="105"/>
  <c r="C31" i="105"/>
  <c r="H31" i="105"/>
  <c r="N31" i="105"/>
  <c r="C32" i="105"/>
  <c r="H32" i="105"/>
  <c r="N32" i="105"/>
  <c r="C33" i="105"/>
  <c r="H33" i="105"/>
  <c r="N33" i="105"/>
  <c r="C34" i="105"/>
  <c r="H34" i="105"/>
  <c r="N34" i="105"/>
  <c r="Q41" i="105"/>
  <c r="M41" i="105"/>
  <c r="I41" i="105"/>
  <c r="E41" i="105"/>
  <c r="Q40" i="105"/>
  <c r="M40" i="105"/>
  <c r="I40" i="105"/>
  <c r="E40" i="105"/>
  <c r="Q39" i="105"/>
  <c r="M39" i="105"/>
  <c r="I39" i="105"/>
  <c r="E39" i="105"/>
  <c r="Q38" i="105"/>
  <c r="M38" i="105"/>
  <c r="I38" i="105"/>
  <c r="E38" i="105"/>
  <c r="C38" i="105"/>
  <c r="H38" i="105"/>
  <c r="N38" i="105"/>
  <c r="C39" i="105"/>
  <c r="H39" i="105"/>
  <c r="N39" i="105"/>
  <c r="C40" i="105"/>
  <c r="H40" i="105"/>
  <c r="N40" i="105"/>
  <c r="C41" i="105"/>
  <c r="H41" i="105"/>
  <c r="N41" i="105"/>
  <c r="Q48" i="105"/>
  <c r="M48" i="105"/>
  <c r="I48" i="105"/>
  <c r="E48" i="105"/>
  <c r="Q47" i="105"/>
  <c r="M47" i="105"/>
  <c r="I47" i="105"/>
  <c r="E47" i="105"/>
  <c r="Q46" i="105"/>
  <c r="M46" i="105"/>
  <c r="I46" i="105"/>
  <c r="E46" i="105"/>
  <c r="Q45" i="105"/>
  <c r="M45" i="105"/>
  <c r="I45" i="105"/>
  <c r="E45" i="105"/>
  <c r="C45" i="105"/>
  <c r="H45" i="105"/>
  <c r="N45" i="105"/>
  <c r="C46" i="105"/>
  <c r="H46" i="105"/>
  <c r="N46" i="105"/>
  <c r="C47" i="105"/>
  <c r="H47" i="105"/>
  <c r="N47" i="105"/>
  <c r="C48" i="105"/>
  <c r="H48" i="105"/>
  <c r="N48" i="105"/>
  <c r="Q55" i="105"/>
  <c r="M55" i="105"/>
  <c r="I55" i="105"/>
  <c r="E55" i="105"/>
  <c r="Q54" i="105"/>
  <c r="M54" i="105"/>
  <c r="I54" i="105"/>
  <c r="E54" i="105"/>
  <c r="Q53" i="105"/>
  <c r="M53" i="105"/>
  <c r="I53" i="105"/>
  <c r="E53" i="105"/>
  <c r="Q52" i="105"/>
  <c r="M52" i="105"/>
  <c r="I52" i="105"/>
  <c r="E52" i="105"/>
  <c r="C52" i="105"/>
  <c r="H52" i="105"/>
  <c r="N52" i="105"/>
  <c r="C53" i="105"/>
  <c r="H53" i="105"/>
  <c r="N53" i="105"/>
  <c r="C54" i="105"/>
  <c r="H54" i="105"/>
  <c r="N54" i="105"/>
  <c r="C55" i="105"/>
  <c r="H55" i="105"/>
  <c r="N55" i="105"/>
  <c r="Q62" i="105"/>
  <c r="M62" i="105"/>
  <c r="I62" i="105"/>
  <c r="E62" i="105"/>
  <c r="Q61" i="105"/>
  <c r="M61" i="105"/>
  <c r="I61" i="105"/>
  <c r="E61" i="105"/>
  <c r="Q60" i="105"/>
  <c r="M60" i="105"/>
  <c r="I60" i="105"/>
  <c r="E60" i="105"/>
  <c r="Q59" i="105"/>
  <c r="M59" i="105"/>
  <c r="I59" i="105"/>
  <c r="E59" i="105"/>
  <c r="C59" i="105"/>
  <c r="H59" i="105"/>
  <c r="N59" i="105"/>
  <c r="C60" i="105"/>
  <c r="H60" i="105"/>
  <c r="N60" i="105"/>
  <c r="C61" i="105"/>
  <c r="H61" i="105"/>
  <c r="N61" i="105"/>
  <c r="C62" i="105"/>
  <c r="H62" i="105"/>
  <c r="N62" i="105"/>
  <c r="Q69" i="105"/>
  <c r="M69" i="105"/>
  <c r="I69" i="105"/>
  <c r="E69" i="105"/>
  <c r="Q68" i="105"/>
  <c r="M68" i="105"/>
  <c r="I68" i="105"/>
  <c r="E68" i="105"/>
  <c r="Q67" i="105"/>
  <c r="M67" i="105"/>
  <c r="I67" i="105"/>
  <c r="E67" i="105"/>
  <c r="Q66" i="105"/>
  <c r="M66" i="105"/>
  <c r="I66" i="105"/>
  <c r="E66" i="105"/>
  <c r="C66" i="105"/>
  <c r="H66" i="105"/>
  <c r="N66" i="105"/>
  <c r="C67" i="105"/>
  <c r="H67" i="105"/>
  <c r="N67" i="105"/>
  <c r="C68" i="105"/>
  <c r="H68" i="105"/>
  <c r="N68" i="105"/>
  <c r="C69" i="105"/>
  <c r="H69" i="105"/>
  <c r="N69" i="105"/>
  <c r="Q76" i="105"/>
  <c r="M76" i="105"/>
  <c r="I76" i="105"/>
  <c r="E76" i="105"/>
  <c r="Q75" i="105"/>
  <c r="M75" i="105"/>
  <c r="I75" i="105"/>
  <c r="E75" i="105"/>
  <c r="Q74" i="105"/>
  <c r="M74" i="105"/>
  <c r="I74" i="105"/>
  <c r="E74" i="105"/>
  <c r="Q73" i="105"/>
  <c r="M73" i="105"/>
  <c r="I73" i="105"/>
  <c r="E73" i="105"/>
  <c r="C73" i="105"/>
  <c r="H73" i="105"/>
  <c r="N73" i="105"/>
  <c r="C74" i="105"/>
  <c r="H74" i="105"/>
  <c r="N74" i="105"/>
  <c r="C75" i="105"/>
  <c r="H75" i="105"/>
  <c r="N75" i="105"/>
  <c r="C76" i="105"/>
  <c r="H76" i="105"/>
  <c r="N76" i="105"/>
  <c r="Q83" i="105"/>
  <c r="M83" i="105"/>
  <c r="I83" i="105"/>
  <c r="E83" i="105"/>
  <c r="Q82" i="105"/>
  <c r="M82" i="105"/>
  <c r="I82" i="105"/>
  <c r="E82" i="105"/>
  <c r="Q81" i="105"/>
  <c r="M81" i="105"/>
  <c r="I81" i="105"/>
  <c r="E81" i="105"/>
  <c r="Q80" i="105"/>
  <c r="M80" i="105"/>
  <c r="I80" i="105"/>
  <c r="E80" i="105"/>
  <c r="C80" i="105"/>
  <c r="H80" i="105"/>
  <c r="N80" i="105"/>
  <c r="C81" i="105"/>
  <c r="H81" i="105"/>
  <c r="N81" i="105"/>
  <c r="C82" i="105"/>
  <c r="H82" i="105"/>
  <c r="N82" i="105"/>
  <c r="C83" i="105"/>
  <c r="H83" i="105"/>
  <c r="N83" i="105"/>
  <c r="Q90" i="105"/>
  <c r="M90" i="105"/>
  <c r="I90" i="105"/>
  <c r="E90" i="105"/>
  <c r="Q89" i="105"/>
  <c r="M89" i="105"/>
  <c r="I89" i="105"/>
  <c r="E89" i="105"/>
  <c r="Q88" i="105"/>
  <c r="M88" i="105"/>
  <c r="I88" i="105"/>
  <c r="E88" i="105"/>
  <c r="Q87" i="105"/>
  <c r="M87" i="105"/>
  <c r="I87" i="105"/>
  <c r="E87" i="105"/>
  <c r="C87" i="105"/>
  <c r="H87" i="105"/>
  <c r="N87" i="105"/>
  <c r="C88" i="105"/>
  <c r="H88" i="105"/>
  <c r="N88" i="105"/>
  <c r="C89" i="105"/>
  <c r="H89" i="105"/>
  <c r="N89" i="105"/>
  <c r="C90" i="105"/>
  <c r="H90" i="105"/>
  <c r="N90" i="105"/>
  <c r="Q97" i="105"/>
  <c r="M97" i="105"/>
  <c r="I97" i="105"/>
  <c r="E97" i="105"/>
  <c r="Q96" i="105"/>
  <c r="M96" i="105"/>
  <c r="I96" i="105"/>
  <c r="E96" i="105"/>
  <c r="Q95" i="105"/>
  <c r="M95" i="105"/>
  <c r="I95" i="105"/>
  <c r="E95" i="105"/>
  <c r="Q94" i="105"/>
  <c r="M94" i="105"/>
  <c r="I94" i="105"/>
  <c r="E94" i="105"/>
  <c r="C94" i="105"/>
  <c r="H94" i="105"/>
  <c r="N94" i="105"/>
  <c r="C95" i="105"/>
  <c r="H95" i="105"/>
  <c r="N95" i="105"/>
  <c r="C96" i="105"/>
  <c r="H96" i="105"/>
  <c r="N96" i="105"/>
  <c r="C97" i="105"/>
  <c r="H97" i="105"/>
  <c r="N97" i="105"/>
  <c r="Q104" i="105"/>
  <c r="M104" i="105"/>
  <c r="I104" i="105"/>
  <c r="E104" i="105"/>
  <c r="Q103" i="105"/>
  <c r="M103" i="105"/>
  <c r="I103" i="105"/>
  <c r="E103" i="105"/>
  <c r="Q102" i="105"/>
  <c r="M102" i="105"/>
  <c r="I102" i="105"/>
  <c r="E102" i="105"/>
  <c r="Q101" i="105"/>
  <c r="M101" i="105"/>
  <c r="I101" i="105"/>
  <c r="E101" i="105"/>
  <c r="C101" i="105"/>
  <c r="H101" i="105"/>
  <c r="N101" i="105"/>
  <c r="C102" i="105"/>
  <c r="H102" i="105"/>
  <c r="N102" i="105"/>
  <c r="C103" i="105"/>
  <c r="H103" i="105"/>
  <c r="N103" i="105"/>
  <c r="C104" i="105"/>
  <c r="H104" i="105"/>
  <c r="N104" i="105"/>
  <c r="G70" i="81"/>
  <c r="G71" i="81"/>
  <c r="H71" i="81" s="1"/>
  <c r="C71" i="81"/>
  <c r="D74" i="81"/>
  <c r="J74" i="81"/>
  <c r="K74" i="81" s="1"/>
  <c r="J75" i="81"/>
  <c r="G78" i="81"/>
  <c r="G79" i="81"/>
  <c r="H79" i="81" s="1"/>
  <c r="C79" i="81"/>
  <c r="D82" i="81"/>
  <c r="J82" i="81"/>
  <c r="K82" i="81" s="1"/>
  <c r="J83" i="81"/>
  <c r="G86" i="81"/>
  <c r="G87" i="81"/>
  <c r="H87" i="81" s="1"/>
  <c r="C87" i="81"/>
  <c r="D90" i="81"/>
  <c r="J90" i="81"/>
  <c r="K90" i="81" s="1"/>
  <c r="J91" i="81"/>
  <c r="G94" i="81"/>
  <c r="E98" i="81"/>
  <c r="G99" i="81"/>
  <c r="H99" i="81" s="1"/>
  <c r="E100" i="81"/>
  <c r="G101" i="81"/>
  <c r="H101" i="81" s="1"/>
  <c r="E102" i="81"/>
  <c r="G103" i="81"/>
  <c r="H103" i="81" s="1"/>
  <c r="E104" i="81"/>
  <c r="G105" i="81"/>
  <c r="H105" i="81" s="1"/>
  <c r="E106" i="81"/>
  <c r="G107" i="81"/>
  <c r="H107" i="81" s="1"/>
  <c r="E108" i="81"/>
  <c r="G109" i="81"/>
  <c r="H109" i="81" s="1"/>
  <c r="E110" i="81"/>
  <c r="G111" i="81"/>
  <c r="H111" i="81" s="1"/>
  <c r="E112" i="81"/>
  <c r="G113" i="81"/>
  <c r="E114" i="81"/>
  <c r="G115" i="81"/>
  <c r="H115" i="81" s="1"/>
  <c r="E116" i="81"/>
  <c r="G117" i="81"/>
  <c r="E118" i="81"/>
  <c r="G119" i="81"/>
  <c r="H119" i="81" s="1"/>
  <c r="E120" i="81"/>
  <c r="G121" i="81"/>
  <c r="E122" i="81"/>
  <c r="G123" i="81"/>
  <c r="H123" i="81" s="1"/>
  <c r="Q13" i="107"/>
  <c r="M13" i="107"/>
  <c r="I13" i="107"/>
  <c r="E13" i="107"/>
  <c r="Q12" i="107"/>
  <c r="M12" i="107"/>
  <c r="I12" i="107"/>
  <c r="E12" i="107"/>
  <c r="Q11" i="107"/>
  <c r="M11" i="107"/>
  <c r="I11" i="107"/>
  <c r="E11" i="107"/>
  <c r="Q10" i="107"/>
  <c r="M10" i="107"/>
  <c r="I10" i="107"/>
  <c r="E10" i="107"/>
  <c r="C10" i="107"/>
  <c r="H10" i="107"/>
  <c r="N10" i="107"/>
  <c r="C11" i="107"/>
  <c r="H11" i="107"/>
  <c r="N11" i="107"/>
  <c r="C12" i="107"/>
  <c r="H12" i="107"/>
  <c r="N12" i="107"/>
  <c r="C13" i="107"/>
  <c r="H13" i="107"/>
  <c r="N13" i="107"/>
  <c r="Q20" i="107"/>
  <c r="M20" i="107"/>
  <c r="I20" i="107"/>
  <c r="E20" i="107"/>
  <c r="Q19" i="107"/>
  <c r="M19" i="107"/>
  <c r="I19" i="107"/>
  <c r="E19" i="107"/>
  <c r="Q18" i="107"/>
  <c r="M18" i="107"/>
  <c r="I18" i="107"/>
  <c r="E18" i="107"/>
  <c r="Q17" i="107"/>
  <c r="M17" i="107"/>
  <c r="I17" i="107"/>
  <c r="E17" i="107"/>
  <c r="C17" i="107"/>
  <c r="H17" i="107"/>
  <c r="N17" i="107"/>
  <c r="C18" i="107"/>
  <c r="H18" i="107"/>
  <c r="N18" i="107"/>
  <c r="C19" i="107"/>
  <c r="H19" i="107"/>
  <c r="N19" i="107"/>
  <c r="C20" i="107"/>
  <c r="H20" i="107"/>
  <c r="N20" i="107"/>
  <c r="Q27" i="107"/>
  <c r="M27" i="107"/>
  <c r="I27" i="107"/>
  <c r="E27" i="107"/>
  <c r="Q26" i="107"/>
  <c r="M26" i="107"/>
  <c r="I26" i="107"/>
  <c r="E26" i="107"/>
  <c r="Q25" i="107"/>
  <c r="M25" i="107"/>
  <c r="I25" i="107"/>
  <c r="E25" i="107"/>
  <c r="Q24" i="107"/>
  <c r="M24" i="107"/>
  <c r="I24" i="107"/>
  <c r="E24" i="107"/>
  <c r="C24" i="107"/>
  <c r="H24" i="107"/>
  <c r="N24" i="107"/>
  <c r="C25" i="107"/>
  <c r="H25" i="107"/>
  <c r="N25" i="107"/>
  <c r="C26" i="107"/>
  <c r="H26" i="107"/>
  <c r="N26" i="107"/>
  <c r="C27" i="107"/>
  <c r="H27" i="107"/>
  <c r="N27" i="107"/>
  <c r="Q34" i="107"/>
  <c r="M34" i="107"/>
  <c r="I34" i="107"/>
  <c r="E34" i="107"/>
  <c r="Q33" i="107"/>
  <c r="M33" i="107"/>
  <c r="I33" i="107"/>
  <c r="E33" i="107"/>
  <c r="Q32" i="107"/>
  <c r="M32" i="107"/>
  <c r="I32" i="107"/>
  <c r="E32" i="107"/>
  <c r="Q31" i="107"/>
  <c r="M31" i="107"/>
  <c r="I31" i="107"/>
  <c r="E31" i="107"/>
  <c r="C31" i="107"/>
  <c r="H31" i="107"/>
  <c r="N31" i="107"/>
  <c r="C32" i="107"/>
  <c r="H32" i="107"/>
  <c r="N32" i="107"/>
  <c r="C33" i="107"/>
  <c r="H33" i="107"/>
  <c r="N33" i="107"/>
  <c r="C34" i="107"/>
  <c r="H34" i="107"/>
  <c r="N34" i="107"/>
  <c r="Q41" i="107"/>
  <c r="M41" i="107"/>
  <c r="I41" i="107"/>
  <c r="E41" i="107"/>
  <c r="Q40" i="107"/>
  <c r="M40" i="107"/>
  <c r="I40" i="107"/>
  <c r="E40" i="107"/>
  <c r="Q39" i="107"/>
  <c r="M39" i="107"/>
  <c r="I39" i="107"/>
  <c r="E39" i="107"/>
  <c r="Q38" i="107"/>
  <c r="M38" i="107"/>
  <c r="I38" i="107"/>
  <c r="E38" i="107"/>
  <c r="C38" i="107"/>
  <c r="H38" i="107"/>
  <c r="N38" i="107"/>
  <c r="C39" i="107"/>
  <c r="H39" i="107"/>
  <c r="N39" i="107"/>
  <c r="C40" i="107"/>
  <c r="H40" i="107"/>
  <c r="N40" i="107"/>
  <c r="C41" i="107"/>
  <c r="H41" i="107"/>
  <c r="N41" i="107"/>
  <c r="Q48" i="107"/>
  <c r="M48" i="107"/>
  <c r="I48" i="107"/>
  <c r="E48" i="107"/>
  <c r="Q47" i="107"/>
  <c r="M47" i="107"/>
  <c r="I47" i="107"/>
  <c r="E47" i="107"/>
  <c r="Q46" i="107"/>
  <c r="M46" i="107"/>
  <c r="I46" i="107"/>
  <c r="E46" i="107"/>
  <c r="Q45" i="107"/>
  <c r="M45" i="107"/>
  <c r="I45" i="107"/>
  <c r="E45" i="107"/>
  <c r="C45" i="107"/>
  <c r="H45" i="107"/>
  <c r="N45" i="107"/>
  <c r="C46" i="107"/>
  <c r="H46" i="107"/>
  <c r="N46" i="107"/>
  <c r="C47" i="107"/>
  <c r="H47" i="107"/>
  <c r="N47" i="107"/>
  <c r="C48" i="107"/>
  <c r="H48" i="107"/>
  <c r="N48" i="107"/>
  <c r="Q55" i="107"/>
  <c r="M55" i="107"/>
  <c r="I55" i="107"/>
  <c r="E55" i="107"/>
  <c r="Q54" i="107"/>
  <c r="M54" i="107"/>
  <c r="I54" i="107"/>
  <c r="E54" i="107"/>
  <c r="Q53" i="107"/>
  <c r="M53" i="107"/>
  <c r="I53" i="107"/>
  <c r="E53" i="107"/>
  <c r="Q52" i="107"/>
  <c r="M52" i="107"/>
  <c r="I52" i="107"/>
  <c r="E52" i="107"/>
  <c r="C52" i="107"/>
  <c r="H52" i="107"/>
  <c r="N52" i="107"/>
  <c r="C53" i="107"/>
  <c r="H53" i="107"/>
  <c r="N53" i="107"/>
  <c r="C54" i="107"/>
  <c r="H54" i="107"/>
  <c r="N54" i="107"/>
  <c r="C55" i="107"/>
  <c r="H55" i="107"/>
  <c r="N55" i="107"/>
  <c r="Q62" i="107"/>
  <c r="M62" i="107"/>
  <c r="I62" i="107"/>
  <c r="E62" i="107"/>
  <c r="Q61" i="107"/>
  <c r="M61" i="107"/>
  <c r="I61" i="107"/>
  <c r="E61" i="107"/>
  <c r="Q60" i="107"/>
  <c r="M60" i="107"/>
  <c r="I60" i="107"/>
  <c r="E60" i="107"/>
  <c r="Q59" i="107"/>
  <c r="M59" i="107"/>
  <c r="I59" i="107"/>
  <c r="E59" i="107"/>
  <c r="C59" i="107"/>
  <c r="H59" i="107"/>
  <c r="N59" i="107"/>
  <c r="C60" i="107"/>
  <c r="H60" i="107"/>
  <c r="N60" i="107"/>
  <c r="C61" i="107"/>
  <c r="H61" i="107"/>
  <c r="N61" i="107"/>
  <c r="C62" i="107"/>
  <c r="H62" i="107"/>
  <c r="N62" i="107"/>
  <c r="Q69" i="107"/>
  <c r="M69" i="107"/>
  <c r="I69" i="107"/>
  <c r="E69" i="107"/>
  <c r="Q68" i="107"/>
  <c r="M68" i="107"/>
  <c r="I68" i="107"/>
  <c r="E68" i="107"/>
  <c r="Q67" i="107"/>
  <c r="M67" i="107"/>
  <c r="I67" i="107"/>
  <c r="E67" i="107"/>
  <c r="Q66" i="107"/>
  <c r="M66" i="107"/>
  <c r="I66" i="107"/>
  <c r="E66" i="107"/>
  <c r="C66" i="107"/>
  <c r="H66" i="107"/>
  <c r="N66" i="107"/>
  <c r="C67" i="107"/>
  <c r="H67" i="107"/>
  <c r="N67" i="107"/>
  <c r="C68" i="107"/>
  <c r="H68" i="107"/>
  <c r="N68" i="107"/>
  <c r="C69" i="107"/>
  <c r="H69" i="107"/>
  <c r="N69" i="107"/>
  <c r="Q76" i="107"/>
  <c r="M76" i="107"/>
  <c r="I76" i="107"/>
  <c r="E76" i="107"/>
  <c r="Q75" i="107"/>
  <c r="M75" i="107"/>
  <c r="I75" i="107"/>
  <c r="E75" i="107"/>
  <c r="Q74" i="107"/>
  <c r="M74" i="107"/>
  <c r="I74" i="107"/>
  <c r="E74" i="107"/>
  <c r="Q73" i="107"/>
  <c r="M73" i="107"/>
  <c r="I73" i="107"/>
  <c r="E73" i="107"/>
  <c r="C73" i="107"/>
  <c r="H73" i="107"/>
  <c r="N73" i="107"/>
  <c r="C74" i="107"/>
  <c r="H74" i="107"/>
  <c r="N74" i="107"/>
  <c r="C75" i="107"/>
  <c r="H75" i="107"/>
  <c r="N75" i="107"/>
  <c r="C76" i="107"/>
  <c r="H76" i="107"/>
  <c r="N76" i="107"/>
  <c r="O83" i="107"/>
  <c r="K83" i="107"/>
  <c r="G83" i="107"/>
  <c r="C83" i="107"/>
  <c r="O82" i="107"/>
  <c r="K82" i="107"/>
  <c r="G82" i="107"/>
  <c r="C82" i="107"/>
  <c r="O81" i="107"/>
  <c r="K81" i="107"/>
  <c r="G81" i="107"/>
  <c r="C81" i="107"/>
  <c r="Q83" i="107"/>
  <c r="L83" i="107"/>
  <c r="F83" i="107"/>
  <c r="Q82" i="107"/>
  <c r="L82" i="107"/>
  <c r="F82" i="107"/>
  <c r="Q81" i="107"/>
  <c r="L81" i="107"/>
  <c r="F81" i="107"/>
  <c r="Q80" i="107"/>
  <c r="M80" i="107"/>
  <c r="I80" i="107"/>
  <c r="E80" i="107"/>
  <c r="C80" i="107"/>
  <c r="H80" i="107"/>
  <c r="N80" i="107"/>
  <c r="I81" i="107"/>
  <c r="P81" i="107"/>
  <c r="E82" i="107"/>
  <c r="M82" i="107"/>
  <c r="I83" i="107"/>
  <c r="P83" i="107"/>
  <c r="J48" i="81"/>
  <c r="J50" i="81"/>
  <c r="J52" i="81"/>
  <c r="J54" i="81"/>
  <c r="J56" i="81"/>
  <c r="J58" i="81"/>
  <c r="J60" i="81"/>
  <c r="J62" i="81"/>
  <c r="J64" i="81"/>
  <c r="G68" i="81"/>
  <c r="H68" i="81" s="1"/>
  <c r="G69" i="81"/>
  <c r="C69" i="81"/>
  <c r="E69" i="81" s="1"/>
  <c r="C70" i="81"/>
  <c r="D71" i="81"/>
  <c r="I71" i="81"/>
  <c r="K71" i="81" s="1"/>
  <c r="D72" i="81"/>
  <c r="E72" i="81" s="1"/>
  <c r="J72" i="81"/>
  <c r="K72" i="81" s="1"/>
  <c r="J73" i="81"/>
  <c r="F74" i="81"/>
  <c r="F75" i="81"/>
  <c r="G76" i="81"/>
  <c r="H76" i="81" s="1"/>
  <c r="G77" i="81"/>
  <c r="H77" i="81" s="1"/>
  <c r="C77" i="81"/>
  <c r="C78" i="81"/>
  <c r="E78" i="81" s="1"/>
  <c r="D79" i="81"/>
  <c r="I79" i="81"/>
  <c r="D80" i="81"/>
  <c r="J80" i="81"/>
  <c r="K80" i="81" s="1"/>
  <c r="J81" i="81"/>
  <c r="K81" i="81" s="1"/>
  <c r="F82" i="81"/>
  <c r="F83" i="81"/>
  <c r="G84" i="81"/>
  <c r="G85" i="81"/>
  <c r="H85" i="81" s="1"/>
  <c r="C85" i="81"/>
  <c r="E85" i="81" s="1"/>
  <c r="C86" i="81"/>
  <c r="E86" i="81" s="1"/>
  <c r="D87" i="81"/>
  <c r="I87" i="81"/>
  <c r="K87" i="81" s="1"/>
  <c r="D88" i="81"/>
  <c r="J88" i="81"/>
  <c r="K88" i="81" s="1"/>
  <c r="J89" i="81"/>
  <c r="K89" i="81" s="1"/>
  <c r="F90" i="81"/>
  <c r="F91" i="81"/>
  <c r="G92" i="81"/>
  <c r="G93" i="81"/>
  <c r="H93" i="81" s="1"/>
  <c r="C93" i="81"/>
  <c r="E93" i="81" s="1"/>
  <c r="C94" i="81"/>
  <c r="E94" i="81" s="1"/>
  <c r="C99" i="81"/>
  <c r="F99" i="81" s="1"/>
  <c r="C101" i="81"/>
  <c r="F101" i="81" s="1"/>
  <c r="C103" i="81"/>
  <c r="F103" i="81" s="1"/>
  <c r="C105" i="81"/>
  <c r="C107" i="81"/>
  <c r="F107" i="81" s="1"/>
  <c r="C109" i="81"/>
  <c r="F109" i="81" s="1"/>
  <c r="C111" i="81"/>
  <c r="F111" i="81" s="1"/>
  <c r="C113" i="81"/>
  <c r="C115" i="81"/>
  <c r="F115" i="81" s="1"/>
  <c r="C117" i="81"/>
  <c r="C119" i="81"/>
  <c r="F119" i="81" s="1"/>
  <c r="C121" i="81"/>
  <c r="C123" i="81"/>
  <c r="F123" i="81" s="1"/>
  <c r="P8" i="107"/>
  <c r="D10" i="107"/>
  <c r="J10" i="107"/>
  <c r="O10" i="107"/>
  <c r="D11" i="107"/>
  <c r="J11" i="107"/>
  <c r="O11" i="107"/>
  <c r="D12" i="107"/>
  <c r="J12" i="107"/>
  <c r="O12" i="107"/>
  <c r="D13" i="107"/>
  <c r="J13" i="107"/>
  <c r="O13" i="107"/>
  <c r="P15" i="107"/>
  <c r="D17" i="107"/>
  <c r="J17" i="107"/>
  <c r="O17" i="107"/>
  <c r="D18" i="107"/>
  <c r="J18" i="107"/>
  <c r="O18" i="107"/>
  <c r="D19" i="107"/>
  <c r="J19" i="107"/>
  <c r="O19" i="107"/>
  <c r="D20" i="107"/>
  <c r="J20" i="107"/>
  <c r="O20" i="107"/>
  <c r="P22" i="107"/>
  <c r="D24" i="107"/>
  <c r="J24" i="107"/>
  <c r="O24" i="107"/>
  <c r="D25" i="107"/>
  <c r="J25" i="107"/>
  <c r="O25" i="107"/>
  <c r="D26" i="107"/>
  <c r="J26" i="107"/>
  <c r="O26" i="107"/>
  <c r="D27" i="107"/>
  <c r="J27" i="107"/>
  <c r="O27" i="107"/>
  <c r="P29" i="107"/>
  <c r="D31" i="107"/>
  <c r="J31" i="107"/>
  <c r="O31" i="107"/>
  <c r="D32" i="107"/>
  <c r="J32" i="107"/>
  <c r="O32" i="107"/>
  <c r="D33" i="107"/>
  <c r="J33" i="107"/>
  <c r="O33" i="107"/>
  <c r="D34" i="107"/>
  <c r="J34" i="107"/>
  <c r="O34" i="107"/>
  <c r="P36" i="107"/>
  <c r="D38" i="107"/>
  <c r="J38" i="107"/>
  <c r="O38" i="107"/>
  <c r="D39" i="107"/>
  <c r="J39" i="107"/>
  <c r="O39" i="107"/>
  <c r="D40" i="107"/>
  <c r="J40" i="107"/>
  <c r="O40" i="107"/>
  <c r="D41" i="107"/>
  <c r="J41" i="107"/>
  <c r="O41" i="107"/>
  <c r="P43" i="107"/>
  <c r="D45" i="107"/>
  <c r="J45" i="107"/>
  <c r="O45" i="107"/>
  <c r="D46" i="107"/>
  <c r="J46" i="107"/>
  <c r="O46" i="107"/>
  <c r="D47" i="107"/>
  <c r="J47" i="107"/>
  <c r="O47" i="107"/>
  <c r="D48" i="107"/>
  <c r="J48" i="107"/>
  <c r="O48" i="107"/>
  <c r="P50" i="107"/>
  <c r="D52" i="107"/>
  <c r="J52" i="107"/>
  <c r="O52" i="107"/>
  <c r="D53" i="107"/>
  <c r="J53" i="107"/>
  <c r="O53" i="107"/>
  <c r="D54" i="107"/>
  <c r="J54" i="107"/>
  <c r="O54" i="107"/>
  <c r="D55" i="107"/>
  <c r="J55" i="107"/>
  <c r="O55" i="107"/>
  <c r="P57" i="107"/>
  <c r="D59" i="107"/>
  <c r="J59" i="107"/>
  <c r="O59" i="107"/>
  <c r="D60" i="107"/>
  <c r="J60" i="107"/>
  <c r="O60" i="107"/>
  <c r="D61" i="107"/>
  <c r="J61" i="107"/>
  <c r="O61" i="107"/>
  <c r="D62" i="107"/>
  <c r="J62" i="107"/>
  <c r="O62" i="107"/>
  <c r="P64" i="107"/>
  <c r="D66" i="107"/>
  <c r="J66" i="107"/>
  <c r="O66" i="107"/>
  <c r="D67" i="107"/>
  <c r="J67" i="107"/>
  <c r="O67" i="107"/>
  <c r="D68" i="107"/>
  <c r="J68" i="107"/>
  <c r="O68" i="107"/>
  <c r="D69" i="107"/>
  <c r="J69" i="107"/>
  <c r="O69" i="107"/>
  <c r="P71" i="107"/>
  <c r="D73" i="107"/>
  <c r="J73" i="107"/>
  <c r="O73" i="107"/>
  <c r="D74" i="107"/>
  <c r="J74" i="107"/>
  <c r="O74" i="107"/>
  <c r="D75" i="107"/>
  <c r="J75" i="107"/>
  <c r="O75" i="107"/>
  <c r="D76" i="107"/>
  <c r="J76" i="107"/>
  <c r="O76" i="107"/>
  <c r="P78" i="107"/>
  <c r="D80" i="107"/>
  <c r="J80" i="107"/>
  <c r="O80" i="107"/>
  <c r="D81" i="107"/>
  <c r="J81" i="107"/>
  <c r="R81" i="107"/>
  <c r="H82" i="107"/>
  <c r="N82" i="107"/>
  <c r="D83" i="107"/>
  <c r="J83" i="107"/>
  <c r="R83" i="107"/>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W10" i="107"/>
  <c r="AA10" i="107"/>
  <c r="AE10" i="107"/>
  <c r="AI10" i="107"/>
  <c r="W11" i="107"/>
  <c r="AA11" i="107"/>
  <c r="AE11" i="107"/>
  <c r="AI11" i="107"/>
  <c r="W12" i="107"/>
  <c r="AA12" i="107"/>
  <c r="AE12" i="107"/>
  <c r="AI12" i="107"/>
  <c r="W13" i="107"/>
  <c r="AA13" i="107"/>
  <c r="AE13" i="107"/>
  <c r="W17" i="107"/>
  <c r="AA17" i="107"/>
  <c r="AE17" i="107"/>
  <c r="AI17" i="107"/>
  <c r="W18" i="107"/>
  <c r="AA18" i="107"/>
  <c r="AE18" i="107"/>
  <c r="AI18" i="107"/>
  <c r="W19" i="107"/>
  <c r="AA19" i="107"/>
  <c r="AE19" i="107"/>
  <c r="AI19" i="107"/>
  <c r="W20" i="107"/>
  <c r="AA20" i="107"/>
  <c r="AE20" i="107"/>
  <c r="W24" i="107"/>
  <c r="AA24" i="107"/>
  <c r="AE24" i="107"/>
  <c r="AI24" i="107"/>
  <c r="W25" i="107"/>
  <c r="AA25" i="107"/>
  <c r="AE25" i="107"/>
  <c r="AI25" i="107"/>
  <c r="W26" i="107"/>
  <c r="AA26" i="107"/>
  <c r="AE26" i="107"/>
  <c r="AI26" i="107"/>
  <c r="W27" i="107"/>
  <c r="AA27" i="107"/>
  <c r="AE27" i="107"/>
  <c r="W31" i="107"/>
  <c r="AA31" i="107"/>
  <c r="AE31" i="107"/>
  <c r="AI31" i="107"/>
  <c r="W32" i="107"/>
  <c r="AA32" i="107"/>
  <c r="AE32" i="107"/>
  <c r="AI32" i="107"/>
  <c r="W33" i="107"/>
  <c r="AA33" i="107"/>
  <c r="AE33" i="107"/>
  <c r="AI33" i="107"/>
  <c r="W34" i="107"/>
  <c r="AA34" i="107"/>
  <c r="AE34" i="107"/>
  <c r="W38" i="107"/>
  <c r="AA38" i="107"/>
  <c r="AE38" i="107"/>
  <c r="AI38" i="107"/>
  <c r="W39" i="107"/>
  <c r="AA39" i="107"/>
  <c r="AE39" i="107"/>
  <c r="AI39" i="107"/>
  <c r="W40" i="107"/>
  <c r="AA40" i="107"/>
  <c r="AE40" i="107"/>
  <c r="AI40" i="107"/>
  <c r="W41" i="107"/>
  <c r="AA41" i="107"/>
  <c r="AE41" i="107"/>
  <c r="W45" i="107"/>
  <c r="AA45" i="107"/>
  <c r="AE45" i="107"/>
  <c r="AI45" i="107"/>
  <c r="W46" i="107"/>
  <c r="AA46" i="107"/>
  <c r="AE46" i="107"/>
  <c r="AI46" i="107"/>
  <c r="W47" i="107"/>
  <c r="AA47" i="107"/>
  <c r="AE47" i="107"/>
  <c r="AI47" i="107"/>
  <c r="W48" i="107"/>
  <c r="AA48" i="107"/>
  <c r="AE48" i="107"/>
  <c r="W52" i="107"/>
  <c r="AA52" i="107"/>
  <c r="AE52" i="107"/>
  <c r="AI52" i="107"/>
  <c r="W53" i="107"/>
  <c r="AA53" i="107"/>
  <c r="AE53" i="107"/>
  <c r="AI53" i="107"/>
  <c r="W54" i="107"/>
  <c r="AA54" i="107"/>
  <c r="AE54" i="107"/>
  <c r="AI54" i="107"/>
  <c r="W55" i="107"/>
  <c r="AA55" i="107"/>
  <c r="AE55" i="107"/>
  <c r="W59" i="107"/>
  <c r="AA59" i="107"/>
  <c r="AE59" i="107"/>
  <c r="AI59" i="107"/>
  <c r="W60" i="107"/>
  <c r="AA60" i="107"/>
  <c r="AE60" i="107"/>
  <c r="AI60" i="107"/>
  <c r="W61" i="107"/>
  <c r="AA61" i="107"/>
  <c r="AE61" i="107"/>
  <c r="AI61" i="107"/>
  <c r="W62" i="107"/>
  <c r="AA62" i="107"/>
  <c r="AE62" i="107"/>
  <c r="W66" i="107"/>
  <c r="AA66" i="107"/>
  <c r="AE66" i="107"/>
  <c r="AI66" i="107"/>
  <c r="W67" i="107"/>
  <c r="AA67" i="107"/>
  <c r="AE67" i="107"/>
  <c r="AI67" i="107"/>
  <c r="W68" i="107"/>
  <c r="AA68" i="107"/>
  <c r="AE68" i="107"/>
  <c r="AI68" i="107"/>
  <c r="W69" i="107"/>
  <c r="AA69" i="107"/>
  <c r="AE69" i="107"/>
  <c r="W73" i="107"/>
  <c r="AA73" i="107"/>
  <c r="AE73" i="107"/>
  <c r="AI73" i="107"/>
  <c r="W74" i="107"/>
  <c r="AA74" i="107"/>
  <c r="AE74" i="107"/>
  <c r="AI74" i="107"/>
  <c r="W75" i="107"/>
  <c r="AA75" i="107"/>
  <c r="AE75" i="107"/>
  <c r="AI75" i="107"/>
  <c r="W76" i="107"/>
  <c r="AA76" i="107"/>
  <c r="AE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V17" i="109"/>
  <c r="AA17" i="109"/>
  <c r="AF17" i="109"/>
  <c r="X18" i="109"/>
  <c r="AC18" i="109"/>
  <c r="AH18" i="109"/>
  <c r="Z19" i="109"/>
  <c r="AE19" i="109"/>
  <c r="V20" i="109"/>
  <c r="AB20" i="109"/>
  <c r="AE27" i="109"/>
  <c r="AA27" i="109"/>
  <c r="W27" i="109"/>
  <c r="AG26" i="109"/>
  <c r="AC26" i="109"/>
  <c r="Y26" i="109"/>
  <c r="U26" i="109"/>
  <c r="AE25" i="109"/>
  <c r="AA25" i="109"/>
  <c r="W25" i="109"/>
  <c r="AG24" i="109"/>
  <c r="AC24" i="109"/>
  <c r="Y24" i="109"/>
  <c r="U24" i="109"/>
  <c r="AF27" i="109"/>
  <c r="Z27" i="109"/>
  <c r="X24" i="109"/>
  <c r="AD24" i="109"/>
  <c r="U25" i="109"/>
  <c r="Z25" i="109"/>
  <c r="AF25" i="109"/>
  <c r="W26" i="109"/>
  <c r="AB26" i="109"/>
  <c r="AH26" i="109"/>
  <c r="Y27" i="109"/>
  <c r="AG27" i="109"/>
  <c r="AE34" i="109"/>
  <c r="AA34" i="109"/>
  <c r="W34" i="109"/>
  <c r="AG33" i="109"/>
  <c r="AC33" i="109"/>
  <c r="Y33" i="109"/>
  <c r="U33" i="109"/>
  <c r="AE32" i="109"/>
  <c r="AA32" i="109"/>
  <c r="W32" i="109"/>
  <c r="AG31" i="109"/>
  <c r="AC31" i="109"/>
  <c r="Y31" i="109"/>
  <c r="U31" i="109"/>
  <c r="AH34" i="109"/>
  <c r="AC34" i="109"/>
  <c r="X34" i="109"/>
  <c r="AF33" i="109"/>
  <c r="AA33" i="109"/>
  <c r="V33" i="109"/>
  <c r="AD32" i="109"/>
  <c r="Y32" i="109"/>
  <c r="AH31" i="109"/>
  <c r="AB31" i="109"/>
  <c r="W31" i="109"/>
  <c r="Z31" i="109"/>
  <c r="AF31" i="109"/>
  <c r="Z32" i="109"/>
  <c r="AG32" i="109"/>
  <c r="Z33" i="109"/>
  <c r="AH33" i="109"/>
  <c r="Z34" i="109"/>
  <c r="AG34" i="109"/>
  <c r="V38" i="109"/>
  <c r="AB38" i="109"/>
  <c r="U39" i="109"/>
  <c r="AC39" i="109"/>
  <c r="V40" i="109"/>
  <c r="AB40" i="109"/>
  <c r="V41" i="109"/>
  <c r="AC41" i="109"/>
  <c r="V45" i="109"/>
  <c r="AD45" i="109"/>
  <c r="V46" i="109"/>
  <c r="AC46" i="109"/>
  <c r="W47" i="109"/>
  <c r="AD47" i="109"/>
  <c r="V48" i="109"/>
  <c r="AA52" i="109"/>
  <c r="X53" i="109"/>
  <c r="AH53" i="109"/>
  <c r="AE54" i="109"/>
  <c r="AA59" i="109"/>
  <c r="X60" i="109"/>
  <c r="AH60" i="109"/>
  <c r="AE61" i="109"/>
  <c r="AA66" i="109"/>
  <c r="X67" i="109"/>
  <c r="AH67" i="109"/>
  <c r="AE68" i="109"/>
  <c r="AA73" i="109"/>
  <c r="X74" i="109"/>
  <c r="AH74" i="109"/>
  <c r="AE75" i="109"/>
  <c r="AA80" i="109"/>
  <c r="AC81" i="109"/>
  <c r="U88" i="109"/>
  <c r="X41" i="109"/>
  <c r="AD41" i="109"/>
  <c r="AE55" i="109"/>
  <c r="AA55" i="109"/>
  <c r="W55" i="109"/>
  <c r="AG54" i="109"/>
  <c r="AC54" i="109"/>
  <c r="Y54" i="109"/>
  <c r="U54" i="109"/>
  <c r="AE53" i="109"/>
  <c r="AA53" i="109"/>
  <c r="W53" i="109"/>
  <c r="AG52" i="109"/>
  <c r="AC52" i="109"/>
  <c r="Y52" i="109"/>
  <c r="U52" i="109"/>
  <c r="AF55" i="109"/>
  <c r="Z55" i="109"/>
  <c r="U55" i="109"/>
  <c r="AD54" i="109"/>
  <c r="X54" i="109"/>
  <c r="AG53" i="109"/>
  <c r="AB53" i="109"/>
  <c r="V53" i="109"/>
  <c r="AE52" i="109"/>
  <c r="Z52" i="109"/>
  <c r="AF50" i="109"/>
  <c r="AH55" i="109"/>
  <c r="AC55" i="109"/>
  <c r="X55" i="109"/>
  <c r="AF54" i="109"/>
  <c r="AA54" i="109"/>
  <c r="V54" i="109"/>
  <c r="AD53" i="109"/>
  <c r="Y53" i="109"/>
  <c r="AH52" i="109"/>
  <c r="AB52" i="109"/>
  <c r="W52" i="109"/>
  <c r="AD52" i="109"/>
  <c r="Z53" i="109"/>
  <c r="W54" i="109"/>
  <c r="AH54" i="109"/>
  <c r="AD55" i="109"/>
  <c r="AE62" i="109"/>
  <c r="AA62" i="109"/>
  <c r="W62" i="109"/>
  <c r="AG61" i="109"/>
  <c r="AC61" i="109"/>
  <c r="Y61" i="109"/>
  <c r="U61" i="109"/>
  <c r="AE60" i="109"/>
  <c r="AA60" i="109"/>
  <c r="W60" i="109"/>
  <c r="AG59" i="109"/>
  <c r="AC59" i="109"/>
  <c r="Y59" i="109"/>
  <c r="U59" i="109"/>
  <c r="AH62" i="109"/>
  <c r="AC62" i="109"/>
  <c r="X62" i="109"/>
  <c r="AF61" i="109"/>
  <c r="AA61" i="109"/>
  <c r="V61" i="109"/>
  <c r="AD60" i="109"/>
  <c r="Y60" i="109"/>
  <c r="AH59" i="109"/>
  <c r="AB59" i="109"/>
  <c r="W59" i="109"/>
  <c r="AF62" i="109"/>
  <c r="Z62" i="109"/>
  <c r="U62" i="109"/>
  <c r="AD61" i="109"/>
  <c r="X61" i="109"/>
  <c r="AG60" i="109"/>
  <c r="AB60" i="109"/>
  <c r="V60" i="109"/>
  <c r="AE59" i="109"/>
  <c r="Z59" i="109"/>
  <c r="AF57" i="109"/>
  <c r="AD59" i="109"/>
  <c r="Z60" i="109"/>
  <c r="W61" i="109"/>
  <c r="AH61" i="109"/>
  <c r="AD62" i="109"/>
  <c r="AE69" i="109"/>
  <c r="AA69" i="109"/>
  <c r="W69" i="109"/>
  <c r="AG68" i="109"/>
  <c r="AC68" i="109"/>
  <c r="Y68" i="109"/>
  <c r="U68" i="109"/>
  <c r="AE67" i="109"/>
  <c r="AA67" i="109"/>
  <c r="W67" i="109"/>
  <c r="AG66" i="109"/>
  <c r="AC66" i="109"/>
  <c r="Y66" i="109"/>
  <c r="U66" i="109"/>
  <c r="AF69" i="109"/>
  <c r="Z69" i="109"/>
  <c r="U69" i="109"/>
  <c r="AD68" i="109"/>
  <c r="X68" i="109"/>
  <c r="AG67" i="109"/>
  <c r="AB67" i="109"/>
  <c r="V67" i="109"/>
  <c r="AE66" i="109"/>
  <c r="Z66" i="109"/>
  <c r="AF64" i="109"/>
  <c r="AH69" i="109"/>
  <c r="AC69" i="109"/>
  <c r="X69" i="109"/>
  <c r="AF68" i="109"/>
  <c r="AA68" i="109"/>
  <c r="V68" i="109"/>
  <c r="AD67" i="109"/>
  <c r="Y67" i="109"/>
  <c r="AH66" i="109"/>
  <c r="AB66" i="109"/>
  <c r="W66" i="109"/>
  <c r="AD66" i="109"/>
  <c r="Z67" i="109"/>
  <c r="W68" i="109"/>
  <c r="AH68" i="109"/>
  <c r="AD69" i="109"/>
  <c r="AE76" i="109"/>
  <c r="AA76" i="109"/>
  <c r="W76" i="109"/>
  <c r="AG75" i="109"/>
  <c r="AC75" i="109"/>
  <c r="Y75" i="109"/>
  <c r="U75" i="109"/>
  <c r="AE74" i="109"/>
  <c r="AA74" i="109"/>
  <c r="W74" i="109"/>
  <c r="AG73" i="109"/>
  <c r="AC73" i="109"/>
  <c r="Y73" i="109"/>
  <c r="U73" i="109"/>
  <c r="AH76" i="109"/>
  <c r="AC76" i="109"/>
  <c r="X76" i="109"/>
  <c r="AF75" i="109"/>
  <c r="AA75" i="109"/>
  <c r="V75" i="109"/>
  <c r="AD74" i="109"/>
  <c r="Y74" i="109"/>
  <c r="AH73" i="109"/>
  <c r="AB73" i="109"/>
  <c r="W73" i="109"/>
  <c r="AF76" i="109"/>
  <c r="Z76" i="109"/>
  <c r="U76" i="109"/>
  <c r="AD75" i="109"/>
  <c r="X75" i="109"/>
  <c r="AG74" i="109"/>
  <c r="AB74" i="109"/>
  <c r="V74" i="109"/>
  <c r="AE73" i="109"/>
  <c r="Z73" i="109"/>
  <c r="AF71" i="109"/>
  <c r="AD73" i="109"/>
  <c r="Z74" i="109"/>
  <c r="W75" i="109"/>
  <c r="AH75" i="109"/>
  <c r="AD76" i="109"/>
  <c r="AE83" i="109"/>
  <c r="AA83" i="109"/>
  <c r="W83" i="109"/>
  <c r="AG82" i="109"/>
  <c r="AC82" i="109"/>
  <c r="Y82" i="109"/>
  <c r="U82" i="109"/>
  <c r="AE81" i="109"/>
  <c r="AA81" i="109"/>
  <c r="W81" i="109"/>
  <c r="AG80" i="109"/>
  <c r="AC80" i="109"/>
  <c r="Y80" i="109"/>
  <c r="U80" i="109"/>
  <c r="AF83" i="109"/>
  <c r="Z83" i="109"/>
  <c r="U83" i="109"/>
  <c r="AD82" i="109"/>
  <c r="X82" i="109"/>
  <c r="AG81" i="109"/>
  <c r="AB81" i="109"/>
  <c r="V81" i="109"/>
  <c r="AE80" i="109"/>
  <c r="Z80" i="109"/>
  <c r="AF78" i="109"/>
  <c r="AD83" i="109"/>
  <c r="Y83" i="109"/>
  <c r="AH82" i="109"/>
  <c r="AB82" i="109"/>
  <c r="W82" i="109"/>
  <c r="AF81" i="109"/>
  <c r="Z81" i="109"/>
  <c r="U81" i="109"/>
  <c r="AH83" i="109"/>
  <c r="AC83" i="109"/>
  <c r="X83" i="109"/>
  <c r="AF82" i="109"/>
  <c r="AA82" i="109"/>
  <c r="V82" i="109"/>
  <c r="AD81" i="109"/>
  <c r="Y81" i="109"/>
  <c r="AH80" i="109"/>
  <c r="AB80" i="109"/>
  <c r="W80" i="109"/>
  <c r="AD80" i="109"/>
  <c r="AH81" i="109"/>
  <c r="AB83" i="109"/>
  <c r="AE90" i="109"/>
  <c r="AA90" i="109"/>
  <c r="W90" i="109"/>
  <c r="AG89" i="109"/>
  <c r="AC89" i="109"/>
  <c r="Y89" i="109"/>
  <c r="U89" i="109"/>
  <c r="AE88" i="109"/>
  <c r="AA88" i="109"/>
  <c r="W88" i="109"/>
  <c r="AG87" i="109"/>
  <c r="AC87" i="109"/>
  <c r="Y87" i="109"/>
  <c r="U87" i="109"/>
  <c r="AH90" i="109"/>
  <c r="AC90" i="109"/>
  <c r="X90" i="109"/>
  <c r="AF89" i="109"/>
  <c r="AA89" i="109"/>
  <c r="V89" i="109"/>
  <c r="AD88" i="109"/>
  <c r="Y88" i="109"/>
  <c r="AH87" i="109"/>
  <c r="AB87" i="109"/>
  <c r="W87" i="109"/>
  <c r="AG90" i="109"/>
  <c r="AB90" i="109"/>
  <c r="V90" i="109"/>
  <c r="AE89" i="109"/>
  <c r="Z89" i="109"/>
  <c r="AH88" i="109"/>
  <c r="AC88" i="109"/>
  <c r="X88" i="109"/>
  <c r="AF87" i="109"/>
  <c r="AA87" i="109"/>
  <c r="V87" i="109"/>
  <c r="AF90" i="109"/>
  <c r="Z90" i="109"/>
  <c r="U90" i="109"/>
  <c r="AD89" i="109"/>
  <c r="X89" i="109"/>
  <c r="AG88" i="109"/>
  <c r="AB88" i="109"/>
  <c r="V88" i="109"/>
  <c r="AE87" i="109"/>
  <c r="Z87" i="109"/>
  <c r="AF85" i="109"/>
  <c r="Z88" i="109"/>
  <c r="AH89" i="109"/>
  <c r="AE20" i="109"/>
  <c r="AA20" i="109"/>
  <c r="W20" i="109"/>
  <c r="AG19" i="109"/>
  <c r="AC19" i="109"/>
  <c r="Y19" i="109"/>
  <c r="U19" i="109"/>
  <c r="AE18" i="109"/>
  <c r="AA18" i="109"/>
  <c r="W18" i="109"/>
  <c r="AG17" i="109"/>
  <c r="AC17" i="109"/>
  <c r="Y17" i="109"/>
  <c r="U17" i="109"/>
  <c r="X17" i="109"/>
  <c r="AD17" i="109"/>
  <c r="U18" i="109"/>
  <c r="Z18" i="109"/>
  <c r="AF18" i="109"/>
  <c r="W19" i="109"/>
  <c r="AB19" i="109"/>
  <c r="AH19" i="109"/>
  <c r="Y20" i="109"/>
  <c r="AD20" i="109"/>
  <c r="Z26" i="109"/>
  <c r="AE26" i="109"/>
  <c r="V27" i="109"/>
  <c r="AC27" i="109"/>
  <c r="V32" i="109"/>
  <c r="AC32" i="109"/>
  <c r="W33" i="109"/>
  <c r="AD33" i="109"/>
  <c r="V34" i="109"/>
  <c r="AD34" i="109"/>
  <c r="X38" i="109"/>
  <c r="AF38" i="109"/>
  <c r="Y39" i="109"/>
  <c r="AF39" i="109"/>
  <c r="Z40" i="109"/>
  <c r="AF40" i="109"/>
  <c r="Y41" i="109"/>
  <c r="AE48" i="109"/>
  <c r="AA48" i="109"/>
  <c r="W48" i="109"/>
  <c r="AG47" i="109"/>
  <c r="AC47" i="109"/>
  <c r="Y47" i="109"/>
  <c r="U47" i="109"/>
  <c r="AE46" i="109"/>
  <c r="AA46" i="109"/>
  <c r="W46" i="109"/>
  <c r="AG45" i="109"/>
  <c r="AC45" i="109"/>
  <c r="Y45" i="109"/>
  <c r="U45" i="109"/>
  <c r="AH48" i="109"/>
  <c r="AC48" i="109"/>
  <c r="X48" i="109"/>
  <c r="AF47" i="109"/>
  <c r="AA47" i="109"/>
  <c r="V47" i="109"/>
  <c r="AD46" i="109"/>
  <c r="Y46" i="109"/>
  <c r="AH45" i="109"/>
  <c r="AB45" i="109"/>
  <c r="W45" i="109"/>
  <c r="Z45" i="109"/>
  <c r="AF45" i="109"/>
  <c r="Z46" i="109"/>
  <c r="AG46" i="109"/>
  <c r="Z47" i="109"/>
  <c r="AH47" i="109"/>
  <c r="Z48" i="109"/>
  <c r="AG48" i="109"/>
  <c r="V52" i="109"/>
  <c r="AF52" i="109"/>
  <c r="AC53" i="109"/>
  <c r="Z54" i="109"/>
  <c r="V55" i="109"/>
  <c r="AG55" i="109"/>
  <c r="V59" i="109"/>
  <c r="AF59" i="109"/>
  <c r="AC60" i="109"/>
  <c r="Z61" i="109"/>
  <c r="V62" i="109"/>
  <c r="AG62" i="109"/>
  <c r="V66" i="109"/>
  <c r="AF66" i="109"/>
  <c r="AC67" i="109"/>
  <c r="Z68" i="109"/>
  <c r="V69" i="109"/>
  <c r="AG69" i="109"/>
  <c r="V73" i="109"/>
  <c r="AF73" i="109"/>
  <c r="AC74" i="109"/>
  <c r="Z75" i="109"/>
  <c r="V76" i="109"/>
  <c r="AG76" i="109"/>
  <c r="V80" i="109"/>
  <c r="AF80" i="109"/>
  <c r="Z82" i="109"/>
  <c r="AG83" i="109"/>
  <c r="X87" i="109"/>
  <c r="AF88" i="109"/>
  <c r="Y90" i="109"/>
  <c r="AE41" i="109"/>
  <c r="AA41" i="109"/>
  <c r="W41" i="109"/>
  <c r="AG40" i="109"/>
  <c r="AC40" i="109"/>
  <c r="Y40" i="109"/>
  <c r="U40" i="109"/>
  <c r="AE39" i="109"/>
  <c r="AA39" i="109"/>
  <c r="W39" i="109"/>
  <c r="AG38" i="109"/>
  <c r="AC38" i="109"/>
  <c r="Y38" i="109"/>
  <c r="U38" i="109"/>
  <c r="AF41" i="109"/>
  <c r="Z41" i="109"/>
  <c r="U41" i="109"/>
  <c r="AD40" i="109"/>
  <c r="X40" i="109"/>
  <c r="AG39" i="109"/>
  <c r="AB39" i="109"/>
  <c r="V39" i="109"/>
  <c r="AE38" i="109"/>
  <c r="Z38" i="109"/>
  <c r="AF36" i="109"/>
  <c r="AA38" i="109"/>
  <c r="AH38" i="109"/>
  <c r="Z39" i="109"/>
  <c r="AH39" i="109"/>
  <c r="AA40" i="109"/>
  <c r="AH40" i="109"/>
  <c r="AB41" i="109"/>
  <c r="AH41" i="109"/>
  <c r="AB47" i="109"/>
  <c r="U48" i="109"/>
  <c r="AB48" i="109"/>
  <c r="X52" i="109"/>
  <c r="U53" i="109"/>
  <c r="AF53" i="109"/>
  <c r="AB54" i="109"/>
  <c r="Y55" i="109"/>
  <c r="X59" i="109"/>
  <c r="U60" i="109"/>
  <c r="AF60" i="109"/>
  <c r="AB61" i="109"/>
  <c r="Y62" i="109"/>
  <c r="X66" i="109"/>
  <c r="U67" i="109"/>
  <c r="AF67" i="109"/>
  <c r="AB68" i="109"/>
  <c r="Y69" i="109"/>
  <c r="X73" i="109"/>
  <c r="U74" i="109"/>
  <c r="AF74" i="109"/>
  <c r="AB75" i="109"/>
  <c r="Y76" i="109"/>
  <c r="X80" i="109"/>
  <c r="X81" i="109"/>
  <c r="AE82" i="109"/>
  <c r="AD87" i="109"/>
  <c r="W89" i="109"/>
  <c r="AD90" i="109"/>
  <c r="X95" i="109"/>
  <c r="AC95" i="109"/>
  <c r="AH95" i="109"/>
  <c r="Z96" i="109"/>
  <c r="AE96" i="109"/>
  <c r="V97" i="109"/>
  <c r="AB97" i="109"/>
  <c r="AG97" i="109"/>
  <c r="O13" i="108"/>
  <c r="K13" i="108"/>
  <c r="G13" i="108"/>
  <c r="C13" i="108"/>
  <c r="R12" i="108"/>
  <c r="N12" i="108"/>
  <c r="J12" i="108"/>
  <c r="F12" i="108"/>
  <c r="Q11" i="108"/>
  <c r="M11" i="108"/>
  <c r="I11" i="108"/>
  <c r="E11" i="108"/>
  <c r="P10" i="108"/>
  <c r="L10" i="108"/>
  <c r="H10" i="108"/>
  <c r="D10" i="108"/>
  <c r="P8" i="108"/>
  <c r="Q13" i="108"/>
  <c r="L13" i="108"/>
  <c r="F13" i="108"/>
  <c r="M12" i="108"/>
  <c r="H12" i="108"/>
  <c r="C12" i="108"/>
  <c r="O11" i="108"/>
  <c r="J11" i="108"/>
  <c r="D11" i="108"/>
  <c r="Q10" i="108"/>
  <c r="K10" i="108"/>
  <c r="F10" i="108"/>
  <c r="E10" i="108"/>
  <c r="M10" i="108"/>
  <c r="C11" i="108"/>
  <c r="K11" i="108"/>
  <c r="R11" i="108"/>
  <c r="I12" i="108"/>
  <c r="P12" i="108"/>
  <c r="H13" i="108"/>
  <c r="N13" i="108"/>
  <c r="W94" i="109"/>
  <c r="AB94" i="109"/>
  <c r="AH94" i="109"/>
  <c r="Y95" i="109"/>
  <c r="AD95" i="109"/>
  <c r="V96" i="109"/>
  <c r="AA96" i="109"/>
  <c r="AF96" i="109"/>
  <c r="X97" i="109"/>
  <c r="AC97" i="109"/>
  <c r="G10" i="108"/>
  <c r="N10" i="108"/>
  <c r="F11" i="108"/>
  <c r="L11" i="108"/>
  <c r="D12" i="108"/>
  <c r="K12" i="108"/>
  <c r="Q12" i="108"/>
  <c r="I13" i="108"/>
  <c r="P13" i="108"/>
  <c r="AJ20" i="108"/>
  <c r="AF20" i="108"/>
  <c r="AI19" i="108"/>
  <c r="AE19" i="108"/>
  <c r="AH18" i="108"/>
  <c r="U18" i="108"/>
  <c r="AG17" i="108"/>
  <c r="AI20" i="108"/>
  <c r="U20" i="108"/>
  <c r="AF19" i="108"/>
  <c r="AG18" i="108"/>
  <c r="AI17" i="108"/>
  <c r="U17" i="108"/>
  <c r="AE17" i="108"/>
  <c r="AJ18" i="108"/>
  <c r="AH19" i="108"/>
  <c r="AG20" i="108"/>
  <c r="R34" i="108"/>
  <c r="N34" i="108"/>
  <c r="J34" i="108"/>
  <c r="F34" i="108"/>
  <c r="R33" i="108"/>
  <c r="N33" i="108"/>
  <c r="J33" i="108"/>
  <c r="F33" i="108"/>
  <c r="R32" i="108"/>
  <c r="N32" i="108"/>
  <c r="J32" i="108"/>
  <c r="F32" i="108"/>
  <c r="R31" i="108"/>
  <c r="N31" i="108"/>
  <c r="J31" i="108"/>
  <c r="F31" i="108"/>
  <c r="M34" i="108"/>
  <c r="H34" i="108"/>
  <c r="C34" i="108"/>
  <c r="M33" i="108"/>
  <c r="H33" i="108"/>
  <c r="C33" i="108"/>
  <c r="M32" i="108"/>
  <c r="H32" i="108"/>
  <c r="C32" i="108"/>
  <c r="M31" i="108"/>
  <c r="H31" i="108"/>
  <c r="C31" i="108"/>
  <c r="I31" i="108"/>
  <c r="P31" i="108"/>
  <c r="E32" i="108"/>
  <c r="L32" i="108"/>
  <c r="I33" i="108"/>
  <c r="P33" i="108"/>
  <c r="E34" i="108"/>
  <c r="L34" i="108"/>
  <c r="R55" i="108"/>
  <c r="N55" i="108"/>
  <c r="J55" i="108"/>
  <c r="F55" i="108"/>
  <c r="R54" i="108"/>
  <c r="N54" i="108"/>
  <c r="J54" i="108"/>
  <c r="F54" i="108"/>
  <c r="R53" i="108"/>
  <c r="N53" i="108"/>
  <c r="J53" i="108"/>
  <c r="F53" i="108"/>
  <c r="R52" i="108"/>
  <c r="N52" i="108"/>
  <c r="J52" i="108"/>
  <c r="F52" i="108"/>
  <c r="O55" i="108"/>
  <c r="I55" i="108"/>
  <c r="D55" i="108"/>
  <c r="O54" i="108"/>
  <c r="I54" i="108"/>
  <c r="D54" i="108"/>
  <c r="O53" i="108"/>
  <c r="I53" i="108"/>
  <c r="D53" i="108"/>
  <c r="O52" i="108"/>
  <c r="I52" i="108"/>
  <c r="D52" i="108"/>
  <c r="P55" i="108"/>
  <c r="H55" i="108"/>
  <c r="L54" i="108"/>
  <c r="E54" i="108"/>
  <c r="P53" i="108"/>
  <c r="H53" i="108"/>
  <c r="L52" i="108"/>
  <c r="E52" i="108"/>
  <c r="L55" i="108"/>
  <c r="E55" i="108"/>
  <c r="P54" i="108"/>
  <c r="H54" i="108"/>
  <c r="L53" i="108"/>
  <c r="E53" i="108"/>
  <c r="P52" i="108"/>
  <c r="H52" i="108"/>
  <c r="M52" i="108"/>
  <c r="G53" i="108"/>
  <c r="M54" i="108"/>
  <c r="G55" i="108"/>
  <c r="K59" i="108"/>
  <c r="J60" i="108"/>
  <c r="I61" i="108"/>
  <c r="AE97" i="109"/>
  <c r="AA97" i="109"/>
  <c r="W97" i="109"/>
  <c r="AG96" i="109"/>
  <c r="AC96" i="109"/>
  <c r="Y96" i="109"/>
  <c r="U96" i="109"/>
  <c r="AE95" i="109"/>
  <c r="AA95" i="109"/>
  <c r="W95" i="109"/>
  <c r="AG94" i="109"/>
  <c r="AC94" i="109"/>
  <c r="Y94" i="109"/>
  <c r="U94" i="109"/>
  <c r="X94" i="109"/>
  <c r="AD94" i="109"/>
  <c r="U95" i="109"/>
  <c r="Z95" i="109"/>
  <c r="AF95" i="109"/>
  <c r="W96" i="109"/>
  <c r="AB96" i="109"/>
  <c r="AH96" i="109"/>
  <c r="Y97" i="109"/>
  <c r="AD97" i="109"/>
  <c r="I10" i="108"/>
  <c r="O10" i="108"/>
  <c r="G11" i="108"/>
  <c r="N11" i="108"/>
  <c r="E12" i="108"/>
  <c r="L12" i="108"/>
  <c r="D13" i="108"/>
  <c r="J13" i="108"/>
  <c r="R13" i="108"/>
  <c r="P62" i="108"/>
  <c r="L62" i="108"/>
  <c r="H62" i="108"/>
  <c r="D62" i="108"/>
  <c r="P61" i="108"/>
  <c r="L61" i="108"/>
  <c r="H61" i="108"/>
  <c r="D61" i="108"/>
  <c r="P60" i="108"/>
  <c r="L60" i="108"/>
  <c r="H60" i="108"/>
  <c r="D60" i="108"/>
  <c r="P59" i="108"/>
  <c r="L59" i="108"/>
  <c r="H59" i="108"/>
  <c r="D59" i="108"/>
  <c r="R62" i="108"/>
  <c r="M62" i="108"/>
  <c r="G62" i="108"/>
  <c r="R61" i="108"/>
  <c r="M61" i="108"/>
  <c r="G61" i="108"/>
  <c r="R60" i="108"/>
  <c r="M60" i="108"/>
  <c r="G60" i="108"/>
  <c r="R59" i="108"/>
  <c r="M59" i="108"/>
  <c r="G59" i="108"/>
  <c r="K62" i="108"/>
  <c r="E62" i="108"/>
  <c r="N61" i="108"/>
  <c r="F61" i="108"/>
  <c r="O60" i="108"/>
  <c r="I60" i="108"/>
  <c r="Q59" i="108"/>
  <c r="J59" i="108"/>
  <c r="C59" i="108"/>
  <c r="O62" i="108"/>
  <c r="I62" i="108"/>
  <c r="Q61" i="108"/>
  <c r="J61" i="108"/>
  <c r="C61" i="108"/>
  <c r="K60" i="108"/>
  <c r="E60" i="108"/>
  <c r="N59" i="108"/>
  <c r="F59" i="108"/>
  <c r="O59" i="108"/>
  <c r="N60" i="108"/>
  <c r="K61" i="108"/>
  <c r="J62" i="108"/>
  <c r="AF92" i="109"/>
  <c r="Z94" i="109"/>
  <c r="AE94" i="109"/>
  <c r="V95" i="109"/>
  <c r="AB95" i="109"/>
  <c r="AG95" i="109"/>
  <c r="X96" i="109"/>
  <c r="AD96" i="109"/>
  <c r="U97" i="109"/>
  <c r="Z97" i="109"/>
  <c r="AF97" i="109"/>
  <c r="C10" i="108"/>
  <c r="J10" i="108"/>
  <c r="R10" i="108"/>
  <c r="H11" i="108"/>
  <c r="P11" i="108"/>
  <c r="G12" i="108"/>
  <c r="O12" i="108"/>
  <c r="E13" i="108"/>
  <c r="M13" i="108"/>
  <c r="Q20" i="108"/>
  <c r="M20" i="108"/>
  <c r="I20" i="108"/>
  <c r="E20" i="108"/>
  <c r="P19" i="108"/>
  <c r="L19" i="108"/>
  <c r="H19" i="108"/>
  <c r="D19" i="108"/>
  <c r="O18" i="108"/>
  <c r="K18" i="108"/>
  <c r="G18" i="108"/>
  <c r="C18" i="108"/>
  <c r="R17" i="108"/>
  <c r="N17" i="108"/>
  <c r="J17" i="108"/>
  <c r="F17" i="108"/>
  <c r="N20" i="108"/>
  <c r="H20" i="108"/>
  <c r="C20" i="108"/>
  <c r="O19" i="108"/>
  <c r="J19" i="108"/>
  <c r="E19" i="108"/>
  <c r="Q18" i="108"/>
  <c r="L18" i="108"/>
  <c r="F18" i="108"/>
  <c r="M17" i="108"/>
  <c r="H17" i="108"/>
  <c r="C17" i="108"/>
  <c r="I17" i="108"/>
  <c r="P17" i="108"/>
  <c r="AH17" i="108"/>
  <c r="H18" i="108"/>
  <c r="N18" i="108"/>
  <c r="AF18" i="108"/>
  <c r="F19" i="108"/>
  <c r="M19" i="108"/>
  <c r="U19" i="108"/>
  <c r="D20" i="108"/>
  <c r="K20" i="108"/>
  <c r="R20" i="108"/>
  <c r="P27" i="108"/>
  <c r="L27" i="108"/>
  <c r="H27" i="108"/>
  <c r="D27" i="108"/>
  <c r="P26" i="108"/>
  <c r="L26" i="108"/>
  <c r="H26" i="108"/>
  <c r="D26" i="108"/>
  <c r="P25" i="108"/>
  <c r="L25" i="108"/>
  <c r="H25" i="108"/>
  <c r="D25" i="108"/>
  <c r="P24" i="108"/>
  <c r="L24" i="108"/>
  <c r="H24" i="108"/>
  <c r="D24" i="108"/>
  <c r="O27" i="108"/>
  <c r="J27" i="108"/>
  <c r="E27" i="108"/>
  <c r="O26" i="108"/>
  <c r="J26" i="108"/>
  <c r="E26" i="108"/>
  <c r="O25" i="108"/>
  <c r="J25" i="108"/>
  <c r="E25" i="108"/>
  <c r="O24" i="108"/>
  <c r="J24" i="108"/>
  <c r="E24" i="108"/>
  <c r="G24" i="108"/>
  <c r="N24" i="108"/>
  <c r="F25" i="108"/>
  <c r="M25" i="108"/>
  <c r="C26" i="108"/>
  <c r="K26" i="108"/>
  <c r="R26" i="108"/>
  <c r="I27" i="108"/>
  <c r="Q27" i="108"/>
  <c r="AJ34" i="108"/>
  <c r="AF34" i="108"/>
  <c r="AB34" i="108"/>
  <c r="X34" i="108"/>
  <c r="AJ33" i="108"/>
  <c r="AF33" i="108"/>
  <c r="AB33" i="108"/>
  <c r="X33" i="108"/>
  <c r="AJ32" i="108"/>
  <c r="AF32" i="108"/>
  <c r="AB32" i="108"/>
  <c r="X32" i="108"/>
  <c r="AJ31" i="108"/>
  <c r="AF31" i="108"/>
  <c r="AB31" i="108"/>
  <c r="X31" i="108"/>
  <c r="AE34" i="108"/>
  <c r="Z34" i="108"/>
  <c r="U34" i="108"/>
  <c r="AE33" i="108"/>
  <c r="Z33" i="108"/>
  <c r="U33" i="108"/>
  <c r="AE32" i="108"/>
  <c r="Z32" i="108"/>
  <c r="U32" i="108"/>
  <c r="AE31" i="108"/>
  <c r="Z31" i="108"/>
  <c r="U31" i="108"/>
  <c r="E31" i="108"/>
  <c r="L31" i="108"/>
  <c r="V31" i="108"/>
  <c r="AC31" i="108"/>
  <c r="AI31" i="108"/>
  <c r="I32" i="108"/>
  <c r="P32" i="108"/>
  <c r="Y32" i="108"/>
  <c r="AG32" i="108"/>
  <c r="E33" i="108"/>
  <c r="L33" i="108"/>
  <c r="V33" i="108"/>
  <c r="AC33" i="108"/>
  <c r="AI33" i="108"/>
  <c r="I34" i="108"/>
  <c r="P34" i="108"/>
  <c r="Y34" i="108"/>
  <c r="AG34" i="108"/>
  <c r="G52" i="108"/>
  <c r="M53" i="108"/>
  <c r="G54" i="108"/>
  <c r="M55" i="108"/>
  <c r="E59" i="108"/>
  <c r="C60" i="108"/>
  <c r="Q60" i="108"/>
  <c r="O61" i="108"/>
  <c r="N62" i="108"/>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C17" i="109"/>
  <c r="G17" i="109"/>
  <c r="K17" i="109"/>
  <c r="O17" i="109"/>
  <c r="E18" i="109"/>
  <c r="I18" i="109"/>
  <c r="M18" i="109"/>
  <c r="Q18" i="109"/>
  <c r="C19" i="109"/>
  <c r="G19" i="109"/>
  <c r="K19" i="109"/>
  <c r="O19" i="109"/>
  <c r="E20" i="109"/>
  <c r="I20" i="109"/>
  <c r="M20"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C45" i="109"/>
  <c r="G45" i="109"/>
  <c r="K45" i="109"/>
  <c r="O45" i="109"/>
  <c r="E46" i="109"/>
  <c r="I46" i="109"/>
  <c r="M46" i="109"/>
  <c r="Q46" i="109"/>
  <c r="C47" i="109"/>
  <c r="G47" i="109"/>
  <c r="K47" i="109"/>
  <c r="O47" i="109"/>
  <c r="E48" i="109"/>
  <c r="I48" i="109"/>
  <c r="M48" i="109"/>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C66" i="109"/>
  <c r="G66" i="109"/>
  <c r="K66" i="109"/>
  <c r="O66" i="109"/>
  <c r="E67" i="109"/>
  <c r="I67" i="109"/>
  <c r="M67" i="109"/>
  <c r="Q67" i="109"/>
  <c r="C68" i="109"/>
  <c r="G68" i="109"/>
  <c r="K68" i="109"/>
  <c r="O68" i="109"/>
  <c r="E69" i="109"/>
  <c r="I69" i="109"/>
  <c r="M69" i="109"/>
  <c r="C73" i="109"/>
  <c r="G73" i="109"/>
  <c r="K73" i="109"/>
  <c r="O73" i="109"/>
  <c r="E74" i="109"/>
  <c r="I74" i="109"/>
  <c r="M74" i="109"/>
  <c r="Q74" i="109"/>
  <c r="C75" i="109"/>
  <c r="G75" i="109"/>
  <c r="K75" i="109"/>
  <c r="O75" i="109"/>
  <c r="E76" i="109"/>
  <c r="I76" i="109"/>
  <c r="M76" i="109"/>
  <c r="C80" i="109"/>
  <c r="G80" i="109"/>
  <c r="K80" i="109"/>
  <c r="O80" i="109"/>
  <c r="E81" i="109"/>
  <c r="I81" i="109"/>
  <c r="M81" i="109"/>
  <c r="Q81" i="109"/>
  <c r="C82" i="109"/>
  <c r="G82" i="109"/>
  <c r="K82" i="109"/>
  <c r="O82" i="109"/>
  <c r="E83" i="109"/>
  <c r="I83" i="109"/>
  <c r="M83" i="109"/>
  <c r="C87" i="109"/>
  <c r="G87" i="109"/>
  <c r="K87" i="109"/>
  <c r="O87" i="109"/>
  <c r="E88" i="109"/>
  <c r="I88" i="109"/>
  <c r="M88" i="109"/>
  <c r="Q88" i="109"/>
  <c r="C89" i="109"/>
  <c r="G89" i="109"/>
  <c r="K89" i="109"/>
  <c r="O89" i="109"/>
  <c r="E90" i="109"/>
  <c r="I90" i="109"/>
  <c r="M90" i="109"/>
  <c r="C94" i="109"/>
  <c r="G94" i="109"/>
  <c r="K94" i="109"/>
  <c r="O94" i="109"/>
  <c r="E95" i="109"/>
  <c r="I95" i="109"/>
  <c r="M95" i="109"/>
  <c r="Q95" i="109"/>
  <c r="C96" i="109"/>
  <c r="G96" i="109"/>
  <c r="K96" i="109"/>
  <c r="O96" i="109"/>
  <c r="E97" i="109"/>
  <c r="I97" i="109"/>
  <c r="M97" i="109"/>
  <c r="P104" i="109"/>
  <c r="L104" i="109"/>
  <c r="H104" i="109"/>
  <c r="D104" i="109"/>
  <c r="P103" i="109"/>
  <c r="L103" i="109"/>
  <c r="H103" i="109"/>
  <c r="D103" i="109"/>
  <c r="P102" i="109"/>
  <c r="L102" i="109"/>
  <c r="H102" i="109"/>
  <c r="E101" i="109"/>
  <c r="I101" i="109"/>
  <c r="M101" i="109"/>
  <c r="Q101" i="109"/>
  <c r="E102" i="109"/>
  <c r="J102" i="109"/>
  <c r="O102" i="109"/>
  <c r="E103" i="109"/>
  <c r="J103" i="109"/>
  <c r="O103" i="109"/>
  <c r="E104" i="109"/>
  <c r="J104" i="109"/>
  <c r="O104" i="109"/>
  <c r="AH13" i="108"/>
  <c r="U13" i="108"/>
  <c r="AG12" i="108"/>
  <c r="AJ11" i="108"/>
  <c r="AF11" i="108"/>
  <c r="AI10" i="108"/>
  <c r="AE10" i="108"/>
  <c r="AG10" i="108"/>
  <c r="AE11" i="108"/>
  <c r="U12" i="108"/>
  <c r="AI12" i="108"/>
  <c r="AG13" i="108"/>
  <c r="P41" i="108"/>
  <c r="L41" i="108"/>
  <c r="H41" i="108"/>
  <c r="D41" i="108"/>
  <c r="P40" i="108"/>
  <c r="L40" i="108"/>
  <c r="H40" i="108"/>
  <c r="D40" i="108"/>
  <c r="P39" i="108"/>
  <c r="L39" i="108"/>
  <c r="H39" i="108"/>
  <c r="D39" i="108"/>
  <c r="P38" i="108"/>
  <c r="L38" i="108"/>
  <c r="H38" i="108"/>
  <c r="D38" i="108"/>
  <c r="F38" i="108"/>
  <c r="K38" i="108"/>
  <c r="Q38" i="108"/>
  <c r="F39" i="108"/>
  <c r="K39" i="108"/>
  <c r="Q39" i="108"/>
  <c r="F40" i="108"/>
  <c r="K40" i="108"/>
  <c r="Q40" i="108"/>
  <c r="F41" i="108"/>
  <c r="K41" i="108"/>
  <c r="Q41" i="108"/>
  <c r="AJ48" i="108"/>
  <c r="AF48" i="108"/>
  <c r="AB48" i="108"/>
  <c r="X48" i="108"/>
  <c r="AJ47" i="108"/>
  <c r="AF47" i="108"/>
  <c r="AB47" i="108"/>
  <c r="X47" i="108"/>
  <c r="AJ46" i="108"/>
  <c r="AF46" i="108"/>
  <c r="AB46" i="108"/>
  <c r="X46" i="108"/>
  <c r="AJ45" i="108"/>
  <c r="AF45" i="108"/>
  <c r="AB45" i="108"/>
  <c r="X45" i="108"/>
  <c r="D45" i="108"/>
  <c r="I45" i="108"/>
  <c r="O45" i="108"/>
  <c r="V45" i="108"/>
  <c r="AA45" i="108"/>
  <c r="AG45" i="108"/>
  <c r="D46" i="108"/>
  <c r="I46" i="108"/>
  <c r="O46" i="108"/>
  <c r="V46" i="108"/>
  <c r="AA46" i="108"/>
  <c r="AG46" i="108"/>
  <c r="D47" i="108"/>
  <c r="I47" i="108"/>
  <c r="O47" i="108"/>
  <c r="V47" i="108"/>
  <c r="AA47" i="108"/>
  <c r="AG47" i="108"/>
  <c r="D48" i="108"/>
  <c r="I48" i="108"/>
  <c r="V48" i="108"/>
  <c r="AA48" i="108"/>
  <c r="AG48" i="108"/>
  <c r="AJ69" i="108"/>
  <c r="AF69" i="108"/>
  <c r="AB69" i="108"/>
  <c r="X69" i="108"/>
  <c r="AJ68" i="108"/>
  <c r="AF68" i="108"/>
  <c r="AB68" i="108"/>
  <c r="X68" i="108"/>
  <c r="AJ67" i="108"/>
  <c r="AF67" i="108"/>
  <c r="AB67" i="108"/>
  <c r="X67" i="108"/>
  <c r="AJ66" i="108"/>
  <c r="AF66" i="108"/>
  <c r="AB66" i="108"/>
  <c r="X66" i="108"/>
  <c r="AH69" i="108"/>
  <c r="AC69" i="108"/>
  <c r="W69" i="108"/>
  <c r="AH68" i="108"/>
  <c r="AC68" i="108"/>
  <c r="W68" i="108"/>
  <c r="AH67" i="108"/>
  <c r="AC67" i="108"/>
  <c r="W67" i="108"/>
  <c r="AH66" i="108"/>
  <c r="AC66" i="108"/>
  <c r="W66" i="108"/>
  <c r="G66" i="108"/>
  <c r="M66" i="108"/>
  <c r="V66" i="108"/>
  <c r="AD66" i="108"/>
  <c r="C67" i="108"/>
  <c r="I67" i="108"/>
  <c r="Q67" i="108"/>
  <c r="Z67" i="108"/>
  <c r="AG67" i="108"/>
  <c r="G68" i="108"/>
  <c r="M68" i="108"/>
  <c r="V68" i="108"/>
  <c r="AD68" i="108"/>
  <c r="C69" i="108"/>
  <c r="I69" i="108"/>
  <c r="Z69" i="108"/>
  <c r="AG69" i="108"/>
  <c r="E73" i="108"/>
  <c r="K73" i="108"/>
  <c r="R73" i="108"/>
  <c r="J74" i="108"/>
  <c r="Q74" i="108"/>
  <c r="G75" i="108"/>
  <c r="O75" i="108"/>
  <c r="F76"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R69" i="108"/>
  <c r="N69" i="108"/>
  <c r="J69" i="108"/>
  <c r="F69" i="108"/>
  <c r="R68" i="108"/>
  <c r="N68" i="108"/>
  <c r="J68" i="108"/>
  <c r="F68" i="108"/>
  <c r="R67" i="108"/>
  <c r="N67" i="108"/>
  <c r="J67" i="108"/>
  <c r="F67" i="108"/>
  <c r="R66" i="108"/>
  <c r="N66" i="108"/>
  <c r="J66" i="108"/>
  <c r="F66" i="108"/>
  <c r="P69" i="108"/>
  <c r="K69" i="108"/>
  <c r="E69" i="108"/>
  <c r="P68" i="108"/>
  <c r="K68" i="108"/>
  <c r="E68" i="108"/>
  <c r="P67" i="108"/>
  <c r="K67" i="108"/>
  <c r="E67" i="108"/>
  <c r="P66" i="108"/>
  <c r="K66" i="108"/>
  <c r="E66" i="108"/>
  <c r="C66" i="108"/>
  <c r="I66" i="108"/>
  <c r="Q66" i="108"/>
  <c r="G67" i="108"/>
  <c r="M67" i="108"/>
  <c r="C68" i="108"/>
  <c r="I68" i="108"/>
  <c r="Q68" i="108"/>
  <c r="G69" i="108"/>
  <c r="M69" i="108"/>
  <c r="P76" i="108"/>
  <c r="L76" i="108"/>
  <c r="H76" i="108"/>
  <c r="D76" i="108"/>
  <c r="P75" i="108"/>
  <c r="L75" i="108"/>
  <c r="H75" i="108"/>
  <c r="D75" i="108"/>
  <c r="P74" i="108"/>
  <c r="L74" i="108"/>
  <c r="H74" i="108"/>
  <c r="D74" i="108"/>
  <c r="P73" i="108"/>
  <c r="L73" i="108"/>
  <c r="H73" i="108"/>
  <c r="D73" i="108"/>
  <c r="N76" i="108"/>
  <c r="I76" i="108"/>
  <c r="C76" i="108"/>
  <c r="N75" i="108"/>
  <c r="I75" i="108"/>
  <c r="C75" i="108"/>
  <c r="N74" i="108"/>
  <c r="I74" i="108"/>
  <c r="C74" i="108"/>
  <c r="N73" i="108"/>
  <c r="I73" i="108"/>
  <c r="C73" i="108"/>
  <c r="G73" i="108"/>
  <c r="O73" i="108"/>
  <c r="F74" i="108"/>
  <c r="M74" i="108"/>
  <c r="E75" i="108"/>
  <c r="K75" i="108"/>
  <c r="R75" i="108"/>
  <c r="J76" i="108"/>
  <c r="Q76" i="108"/>
  <c r="F101" i="108"/>
  <c r="N101" i="108"/>
  <c r="Q104" i="108"/>
  <c r="C104" i="108"/>
  <c r="M103" i="108"/>
  <c r="K103" i="108"/>
  <c r="C103" i="108"/>
  <c r="K102" i="108"/>
  <c r="G102" i="108"/>
  <c r="Q101" i="108"/>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94" i="108"/>
  <c r="M94" i="108"/>
  <c r="O94" i="108"/>
  <c r="Q94" i="108"/>
  <c r="E95" i="108"/>
  <c r="I95" i="108"/>
  <c r="M95" i="108"/>
  <c r="O95" i="108"/>
  <c r="I96" i="108"/>
  <c r="O96" i="108"/>
  <c r="Q96" i="108"/>
  <c r="E97" i="108"/>
  <c r="I97" i="108"/>
  <c r="O97" i="108"/>
  <c r="Q97" i="108"/>
  <c r="AG13" i="110"/>
  <c r="AC13" i="110"/>
  <c r="Y13" i="110"/>
  <c r="U13" i="110"/>
  <c r="AG12" i="110"/>
  <c r="AC12" i="110"/>
  <c r="Y12" i="110"/>
  <c r="U12" i="110"/>
  <c r="AG11" i="110"/>
  <c r="AC11" i="110"/>
  <c r="Y11" i="110"/>
  <c r="U11" i="110"/>
  <c r="AG10" i="110"/>
  <c r="AC10" i="110"/>
  <c r="Y10" i="110"/>
  <c r="U10" i="110"/>
  <c r="AH13" i="110"/>
  <c r="AB13" i="110"/>
  <c r="W13" i="110"/>
  <c r="AJ13" i="110"/>
  <c r="AD13" i="110"/>
  <c r="V13" i="110"/>
  <c r="AJ12" i="110"/>
  <c r="AE12" i="110"/>
  <c r="Z12" i="110"/>
  <c r="AJ11" i="110"/>
  <c r="AE11" i="110"/>
  <c r="Z11" i="110"/>
  <c r="AJ10" i="110"/>
  <c r="AE10" i="110"/>
  <c r="Z10" i="110"/>
  <c r="AH8" i="110"/>
  <c r="AE13" i="110"/>
  <c r="AD12" i="110"/>
  <c r="W12" i="110"/>
  <c r="AH11" i="110"/>
  <c r="AA11" i="110"/>
  <c r="AD10" i="110"/>
  <c r="W10" i="110"/>
  <c r="AA10" i="110"/>
  <c r="AI10" i="110"/>
  <c r="W11" i="110"/>
  <c r="AF11" i="110"/>
  <c r="AB12" i="110"/>
  <c r="AA13" i="110"/>
  <c r="V59" i="108"/>
  <c r="Z59" i="108"/>
  <c r="AD59" i="108"/>
  <c r="AH59" i="108"/>
  <c r="V60" i="108"/>
  <c r="Z60" i="108"/>
  <c r="AD60" i="108"/>
  <c r="AH60" i="108"/>
  <c r="V61" i="108"/>
  <c r="Z61" i="108"/>
  <c r="AD61" i="108"/>
  <c r="AH61" i="108"/>
  <c r="V62" i="108"/>
  <c r="Z62" i="108"/>
  <c r="AD62" i="108"/>
  <c r="O13" i="110"/>
  <c r="K13" i="110"/>
  <c r="G13" i="110"/>
  <c r="C13" i="110"/>
  <c r="O12" i="110"/>
  <c r="K12" i="110"/>
  <c r="G12" i="110"/>
  <c r="C12" i="110"/>
  <c r="O11" i="110"/>
  <c r="K11" i="110"/>
  <c r="G11" i="110"/>
  <c r="C11" i="110"/>
  <c r="P13" i="110"/>
  <c r="M13" i="110"/>
  <c r="H13" i="110"/>
  <c r="R12" i="110"/>
  <c r="M12" i="110"/>
  <c r="H12" i="110"/>
  <c r="R11" i="110"/>
  <c r="M11" i="110"/>
  <c r="H11" i="110"/>
  <c r="R10" i="110"/>
  <c r="N10" i="110"/>
  <c r="J10" i="110"/>
  <c r="F10" i="110"/>
  <c r="D10" i="110"/>
  <c r="I10" i="110"/>
  <c r="O10" i="110"/>
  <c r="D11" i="110"/>
  <c r="J11" i="110"/>
  <c r="Q11" i="110"/>
  <c r="F12" i="110"/>
  <c r="N12" i="110"/>
  <c r="D13" i="110"/>
  <c r="J13" i="110"/>
  <c r="R13" i="110"/>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F27" i="110"/>
  <c r="Z27" i="110"/>
  <c r="AJ26" i="110"/>
  <c r="AB26" i="110"/>
  <c r="V26" i="110"/>
  <c r="AF25" i="110"/>
  <c r="Z25" i="110"/>
  <c r="AJ24" i="110"/>
  <c r="AB24" i="110"/>
  <c r="V24" i="110"/>
  <c r="AJ27" i="110"/>
  <c r="AB27" i="110"/>
  <c r="V27" i="110"/>
  <c r="AF26" i="110"/>
  <c r="Z26" i="110"/>
  <c r="AJ25" i="110"/>
  <c r="AB25" i="110"/>
  <c r="V25" i="110"/>
  <c r="AF24" i="110"/>
  <c r="Z24" i="110"/>
  <c r="AA24" i="110"/>
  <c r="W25" i="110"/>
  <c r="AH26" i="110"/>
  <c r="AE27" i="110"/>
  <c r="AH27" i="110"/>
  <c r="AI62" i="110"/>
  <c r="AE62" i="110"/>
  <c r="AA62" i="110"/>
  <c r="W62" i="110"/>
  <c r="AI61" i="110"/>
  <c r="AE61" i="110"/>
  <c r="AA61" i="110"/>
  <c r="W61" i="110"/>
  <c r="AI60" i="110"/>
  <c r="AE60" i="110"/>
  <c r="AA60" i="110"/>
  <c r="W60" i="110"/>
  <c r="AI59" i="110"/>
  <c r="AE59" i="110"/>
  <c r="AA59" i="110"/>
  <c r="W59" i="110"/>
  <c r="AH57" i="110"/>
  <c r="AJ62" i="110"/>
  <c r="AD62" i="110"/>
  <c r="Y62" i="110"/>
  <c r="AJ61" i="110"/>
  <c r="AD61" i="110"/>
  <c r="Y61" i="110"/>
  <c r="AJ60" i="110"/>
  <c r="AD60" i="110"/>
  <c r="Y60" i="110"/>
  <c r="AJ59" i="110"/>
  <c r="AD59" i="110"/>
  <c r="Y59" i="110"/>
  <c r="AG62" i="110"/>
  <c r="AB62" i="110"/>
  <c r="V62" i="110"/>
  <c r="AG61" i="110"/>
  <c r="AB61" i="110"/>
  <c r="V61" i="110"/>
  <c r="AG60" i="110"/>
  <c r="AB60" i="110"/>
  <c r="V60" i="110"/>
  <c r="AG59" i="110"/>
  <c r="AB59" i="110"/>
  <c r="V59" i="110"/>
  <c r="Z59" i="110"/>
  <c r="U60" i="110"/>
  <c r="AF60" i="110"/>
  <c r="Z61" i="110"/>
  <c r="U62" i="110"/>
  <c r="AF62" i="110"/>
  <c r="F66" i="110"/>
  <c r="Q66" i="110"/>
  <c r="I67" i="110"/>
  <c r="L68" i="110"/>
  <c r="D69" i="110"/>
  <c r="N69" i="110"/>
  <c r="X20" i="110"/>
  <c r="AI34" i="110"/>
  <c r="AE34" i="110"/>
  <c r="AA34" i="110"/>
  <c r="W34" i="110"/>
  <c r="AI33" i="110"/>
  <c r="AE33" i="110"/>
  <c r="AA33" i="110"/>
  <c r="W33" i="110"/>
  <c r="AI32" i="110"/>
  <c r="AE32" i="110"/>
  <c r="AA32" i="110"/>
  <c r="W32" i="110"/>
  <c r="AI31" i="110"/>
  <c r="AE31" i="110"/>
  <c r="AA31" i="110"/>
  <c r="W31" i="110"/>
  <c r="AG34" i="110"/>
  <c r="AB34" i="110"/>
  <c r="V34" i="110"/>
  <c r="AG33" i="110"/>
  <c r="AB33" i="110"/>
  <c r="V33" i="110"/>
  <c r="AG32" i="110"/>
  <c r="AB32" i="110"/>
  <c r="V32" i="110"/>
  <c r="AG31" i="110"/>
  <c r="AB31" i="110"/>
  <c r="V31" i="110"/>
  <c r="AJ34" i="110"/>
  <c r="AD34" i="110"/>
  <c r="Y34" i="110"/>
  <c r="AJ33" i="110"/>
  <c r="AD33" i="110"/>
  <c r="Y33" i="110"/>
  <c r="Y31" i="110"/>
  <c r="AF31" i="110"/>
  <c r="X32" i="110"/>
  <c r="AD32" i="110"/>
  <c r="U33" i="110"/>
  <c r="AF33" i="110"/>
  <c r="Z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41" i="110"/>
  <c r="J41" i="110"/>
  <c r="E41" i="110"/>
  <c r="P40" i="110"/>
  <c r="J40" i="110"/>
  <c r="E40" i="110"/>
  <c r="P39" i="110"/>
  <c r="J39" i="110"/>
  <c r="E39" i="110"/>
  <c r="P38" i="110"/>
  <c r="J38" i="110"/>
  <c r="E38" i="110"/>
  <c r="L38" i="110"/>
  <c r="L39" i="110"/>
  <c r="L40" i="110"/>
  <c r="L41" i="110"/>
  <c r="AB53" i="110"/>
  <c r="AB54" i="110"/>
  <c r="AC59" i="110"/>
  <c r="X60" i="110"/>
  <c r="AH60" i="110"/>
  <c r="AC61" i="110"/>
  <c r="X62" i="110"/>
  <c r="AH62" i="110"/>
  <c r="I66" i="110"/>
  <c r="L67" i="110"/>
  <c r="D68" i="110"/>
  <c r="N68" i="110"/>
  <c r="F69" i="110"/>
  <c r="Z62" i="110"/>
  <c r="O69" i="110"/>
  <c r="K69" i="110"/>
  <c r="G69" i="110"/>
  <c r="C69" i="110"/>
  <c r="O68" i="110"/>
  <c r="K68" i="110"/>
  <c r="G68" i="110"/>
  <c r="C68" i="110"/>
  <c r="O67" i="110"/>
  <c r="K67" i="110"/>
  <c r="G67" i="110"/>
  <c r="C67" i="110"/>
  <c r="O66" i="110"/>
  <c r="K66" i="110"/>
  <c r="G66" i="110"/>
  <c r="C66" i="110"/>
  <c r="P69" i="110"/>
  <c r="J69" i="110"/>
  <c r="E69" i="110"/>
  <c r="P68" i="110"/>
  <c r="J68" i="110"/>
  <c r="E68" i="110"/>
  <c r="P67" i="110"/>
  <c r="J67" i="110"/>
  <c r="E67" i="110"/>
  <c r="P66" i="110"/>
  <c r="J66" i="110"/>
  <c r="E66" i="110"/>
  <c r="R69" i="110"/>
  <c r="M69" i="110"/>
  <c r="H69" i="110"/>
  <c r="R68" i="110"/>
  <c r="M68" i="110"/>
  <c r="H68" i="110"/>
  <c r="R67" i="110"/>
  <c r="M67" i="110"/>
  <c r="H67" i="110"/>
  <c r="R66" i="110"/>
  <c r="M66" i="110"/>
  <c r="H66" i="110"/>
  <c r="L66" i="110"/>
  <c r="D67" i="110"/>
  <c r="N67" i="110"/>
  <c r="F68" i="110"/>
  <c r="Q68" i="110"/>
  <c r="I69" i="110"/>
  <c r="AI20" i="110"/>
  <c r="AE20" i="110"/>
  <c r="AA20" i="110"/>
  <c r="W20" i="110"/>
  <c r="AI19" i="110"/>
  <c r="AE19" i="110"/>
  <c r="AA19" i="110"/>
  <c r="W19" i="110"/>
  <c r="AI18" i="110"/>
  <c r="AE18" i="110"/>
  <c r="AA18" i="110"/>
  <c r="W18" i="110"/>
  <c r="AI17" i="110"/>
  <c r="AE17" i="110"/>
  <c r="AA17" i="110"/>
  <c r="W17" i="110"/>
  <c r="AF20" i="110"/>
  <c r="Z20" i="110"/>
  <c r="U20" i="110"/>
  <c r="AF19" i="110"/>
  <c r="Z19" i="110"/>
  <c r="U19" i="110"/>
  <c r="AF18" i="110"/>
  <c r="Z18" i="110"/>
  <c r="U18" i="110"/>
  <c r="AF17" i="110"/>
  <c r="Z17" i="110"/>
  <c r="U17" i="110"/>
  <c r="Y17" i="110"/>
  <c r="AG17" i="110"/>
  <c r="X18" i="110"/>
  <c r="AD18" i="110"/>
  <c r="V19" i="110"/>
  <c r="AC19" i="110"/>
  <c r="AJ19" i="110"/>
  <c r="AB20" i="110"/>
  <c r="AH20" i="110"/>
  <c r="U31" i="110"/>
  <c r="AC31" i="110"/>
  <c r="AJ31" i="110"/>
  <c r="Z32" i="110"/>
  <c r="AH32" i="110"/>
  <c r="Z33" i="110"/>
  <c r="U34" i="110"/>
  <c r="AF34" i="110"/>
  <c r="F38" i="110"/>
  <c r="Q38" i="110"/>
  <c r="F39" i="110"/>
  <c r="Q39" i="110"/>
  <c r="F40" i="110"/>
  <c r="Q40" i="110"/>
  <c r="F41" i="110"/>
  <c r="Q41" i="110"/>
  <c r="AG55" i="110"/>
  <c r="AC55" i="110"/>
  <c r="Y55" i="110"/>
  <c r="U55" i="110"/>
  <c r="AG54" i="110"/>
  <c r="AC54" i="110"/>
  <c r="Y54" i="110"/>
  <c r="U54" i="110"/>
  <c r="AG53" i="110"/>
  <c r="AC53" i="110"/>
  <c r="Y53" i="110"/>
  <c r="U53" i="110"/>
  <c r="AG52" i="110"/>
  <c r="AC52" i="110"/>
  <c r="Y52" i="110"/>
  <c r="U52" i="110"/>
  <c r="AF55" i="110"/>
  <c r="AA55" i="110"/>
  <c r="V55" i="110"/>
  <c r="AF54" i="110"/>
  <c r="AA54" i="110"/>
  <c r="V54" i="110"/>
  <c r="AF53" i="110"/>
  <c r="AA53" i="110"/>
  <c r="V53" i="110"/>
  <c r="AF52" i="110"/>
  <c r="AA52" i="110"/>
  <c r="V52" i="110"/>
  <c r="AI55" i="110"/>
  <c r="AD55" i="110"/>
  <c r="X55" i="110"/>
  <c r="AI54" i="110"/>
  <c r="AD54" i="110"/>
  <c r="X54" i="110"/>
  <c r="AI53" i="110"/>
  <c r="AD53" i="110"/>
  <c r="X53" i="110"/>
  <c r="AI52" i="110"/>
  <c r="AD52" i="110"/>
  <c r="X52" i="110"/>
  <c r="AH50" i="110"/>
  <c r="W52" i="110"/>
  <c r="AH52" i="110"/>
  <c r="W53" i="110"/>
  <c r="AH53" i="110"/>
  <c r="W54" i="110"/>
  <c r="AH54" i="110"/>
  <c r="W55" i="110"/>
  <c r="AH55" i="110"/>
  <c r="X59" i="110"/>
  <c r="AH59" i="110"/>
  <c r="AC60" i="110"/>
  <c r="X61" i="110"/>
  <c r="AH61" i="110"/>
  <c r="AC62" i="110"/>
  <c r="D66" i="110"/>
  <c r="N66" i="110"/>
  <c r="F67" i="110"/>
  <c r="Q67" i="110"/>
  <c r="I68" i="110"/>
  <c r="L69" i="110"/>
  <c r="AG41" i="110"/>
  <c r="AC41" i="110"/>
  <c r="Y41" i="110"/>
  <c r="U41" i="110"/>
  <c r="AG40" i="110"/>
  <c r="AC40" i="110"/>
  <c r="Y40" i="110"/>
  <c r="U40" i="110"/>
  <c r="AG39" i="110"/>
  <c r="AC39" i="110"/>
  <c r="Y39" i="110"/>
  <c r="U39" i="110"/>
  <c r="AG38" i="110"/>
  <c r="AC38" i="110"/>
  <c r="Y38" i="110"/>
  <c r="U38" i="110"/>
  <c r="W38" i="110"/>
  <c r="AB38" i="110"/>
  <c r="AH38" i="110"/>
  <c r="W39" i="110"/>
  <c r="AB39" i="110"/>
  <c r="AH39" i="110"/>
  <c r="W40" i="110"/>
  <c r="AB40" i="110"/>
  <c r="AH40" i="110"/>
  <c r="W41" i="110"/>
  <c r="AB41" i="110"/>
  <c r="AH41" i="110"/>
  <c r="U48" i="110"/>
  <c r="Z48" i="110"/>
  <c r="O55" i="110"/>
  <c r="K55" i="110"/>
  <c r="G55" i="110"/>
  <c r="C55" i="110"/>
  <c r="O54" i="110"/>
  <c r="K54" i="110"/>
  <c r="G54" i="110"/>
  <c r="C54" i="110"/>
  <c r="O53" i="110"/>
  <c r="K53" i="110"/>
  <c r="G53" i="110"/>
  <c r="C53" i="110"/>
  <c r="O52" i="110"/>
  <c r="K52" i="110"/>
  <c r="G52" i="110"/>
  <c r="C52" i="110"/>
  <c r="F52" i="110"/>
  <c r="L52" i="110"/>
  <c r="Q52" i="110"/>
  <c r="F53" i="110"/>
  <c r="L53" i="110"/>
  <c r="Q53" i="110"/>
  <c r="F54" i="110"/>
  <c r="L54" i="110"/>
  <c r="Q54" i="110"/>
  <c r="F55" i="110"/>
  <c r="L55" i="110"/>
  <c r="Q55" i="110"/>
  <c r="X76" i="110"/>
  <c r="AE74" i="110"/>
  <c r="AI83" i="110"/>
  <c r="AE83" i="110"/>
  <c r="AA83" i="110"/>
  <c r="Y83" i="110"/>
  <c r="AI82" i="110"/>
  <c r="AE82" i="110"/>
  <c r="AC82" i="110"/>
  <c r="AA82" i="110"/>
  <c r="Y82" i="110"/>
  <c r="U82" i="110"/>
  <c r="AG81" i="110"/>
  <c r="AA81" i="110"/>
  <c r="Y81" i="110"/>
  <c r="W81" i="110"/>
  <c r="AI80" i="110"/>
  <c r="AC80" i="110"/>
  <c r="AA80" i="110"/>
  <c r="Y80" i="110"/>
  <c r="AH83" i="110"/>
  <c r="AH82" i="110"/>
  <c r="AH81" i="110"/>
  <c r="Z81" i="110"/>
  <c r="AH80" i="110"/>
  <c r="AF80" i="110"/>
  <c r="AF82" i="110"/>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Z38" i="110"/>
  <c r="AE38" i="110"/>
  <c r="AJ38" i="110"/>
  <c r="Z39" i="110"/>
  <c r="AE39" i="110"/>
  <c r="AJ39" i="110"/>
  <c r="Z40" i="110"/>
  <c r="AE40" i="110"/>
  <c r="AJ40" i="110"/>
  <c r="Z41" i="110"/>
  <c r="AE41" i="110"/>
  <c r="AJ41" i="110"/>
  <c r="AI48" i="110"/>
  <c r="AE48" i="110"/>
  <c r="AA48" i="110"/>
  <c r="W48" i="110"/>
  <c r="AI47" i="110"/>
  <c r="AE47" i="110"/>
  <c r="AA47" i="110"/>
  <c r="W47" i="110"/>
  <c r="AI46" i="110"/>
  <c r="AE46" i="110"/>
  <c r="AA46" i="110"/>
  <c r="W46" i="110"/>
  <c r="AI45" i="110"/>
  <c r="AE45" i="110"/>
  <c r="AA45" i="110"/>
  <c r="W45" i="110"/>
  <c r="X45" i="110"/>
  <c r="AC45" i="110"/>
  <c r="AH45" i="110"/>
  <c r="X46" i="110"/>
  <c r="AC46" i="110"/>
  <c r="AH46" i="110"/>
  <c r="X47" i="110"/>
  <c r="AC47" i="110"/>
  <c r="AH47" i="110"/>
  <c r="X48" i="110"/>
  <c r="AC48" i="110"/>
  <c r="AH48" i="110"/>
  <c r="D52" i="110"/>
  <c r="I52" i="110"/>
  <c r="N52" i="110"/>
  <c r="D53" i="110"/>
  <c r="I53" i="110"/>
  <c r="N53" i="110"/>
  <c r="D54" i="110"/>
  <c r="I54" i="110"/>
  <c r="N54" i="110"/>
  <c r="D55" i="110"/>
  <c r="I55" i="110"/>
  <c r="N55" i="110"/>
  <c r="AG69" i="110"/>
  <c r="AC69" i="110"/>
  <c r="Y69" i="110"/>
  <c r="U69" i="110"/>
  <c r="AG68" i="110"/>
  <c r="AC68" i="110"/>
  <c r="Y68" i="110"/>
  <c r="U68" i="110"/>
  <c r="AG67" i="110"/>
  <c r="AC67" i="110"/>
  <c r="Y67" i="110"/>
  <c r="U67" i="110"/>
  <c r="AG66" i="110"/>
  <c r="AC66" i="110"/>
  <c r="Y66" i="110"/>
  <c r="U66" i="110"/>
  <c r="W66" i="110"/>
  <c r="AB66" i="110"/>
  <c r="AH66" i="110"/>
  <c r="W67" i="110"/>
  <c r="AB67" i="110"/>
  <c r="AH67" i="110"/>
  <c r="W68" i="110"/>
  <c r="AB68" i="110"/>
  <c r="AH68" i="110"/>
  <c r="W69" i="110"/>
  <c r="AB69" i="110"/>
  <c r="AH69" i="110"/>
  <c r="O83" i="110"/>
  <c r="K83" i="110"/>
  <c r="Q81" i="110"/>
  <c r="G81" i="110"/>
  <c r="C81" i="110"/>
  <c r="C80" i="110"/>
  <c r="P82" i="110"/>
  <c r="P78" i="110"/>
  <c r="V80" i="110"/>
  <c r="V81" i="110"/>
  <c r="V82" i="110"/>
  <c r="AB82" i="110"/>
  <c r="V83" i="110"/>
  <c r="AG97" i="110"/>
  <c r="AG96" i="110"/>
  <c r="U96" i="110"/>
  <c r="U95" i="110"/>
  <c r="AF97" i="110"/>
  <c r="AF96" i="110"/>
  <c r="AF95" i="110"/>
  <c r="Z95" i="110"/>
  <c r="V95" i="110"/>
  <c r="AJ94" i="110"/>
  <c r="AH94" i="110"/>
  <c r="X94" i="110"/>
  <c r="Y94"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E45" i="110"/>
  <c r="I45" i="110"/>
  <c r="M45" i="110"/>
  <c r="Q45" i="110"/>
  <c r="E46" i="110"/>
  <c r="I46" i="110"/>
  <c r="M46" i="110"/>
  <c r="Q46" i="110"/>
  <c r="E47" i="110"/>
  <c r="I47" i="110"/>
  <c r="M47" i="110"/>
  <c r="Q47" i="110"/>
  <c r="E48" i="110"/>
  <c r="I48" i="110"/>
  <c r="M48" i="110"/>
  <c r="E59" i="110"/>
  <c r="I59" i="110"/>
  <c r="M59" i="110"/>
  <c r="Q59" i="110"/>
  <c r="E60" i="110"/>
  <c r="I60" i="110"/>
  <c r="M60" i="110"/>
  <c r="Q60" i="110"/>
  <c r="E61" i="110"/>
  <c r="I61" i="110"/>
  <c r="M61" i="110"/>
  <c r="Q61" i="110"/>
  <c r="E62" i="110"/>
  <c r="I62" i="110"/>
  <c r="M62" i="110"/>
  <c r="Q76" i="110"/>
  <c r="M76" i="110"/>
  <c r="I76" i="110"/>
  <c r="E76" i="110"/>
  <c r="Q75" i="110"/>
  <c r="M75" i="110"/>
  <c r="I75" i="110"/>
  <c r="E75" i="110"/>
  <c r="Q74" i="110"/>
  <c r="M74" i="110"/>
  <c r="I74" i="110"/>
  <c r="E74" i="110"/>
  <c r="E73" i="110"/>
  <c r="I73" i="110"/>
  <c r="M73" i="110"/>
  <c r="Q73" i="110"/>
  <c r="D74" i="110"/>
  <c r="J74" i="110"/>
  <c r="O74" i="110"/>
  <c r="D75" i="110"/>
  <c r="J75" i="110"/>
  <c r="O75" i="110"/>
  <c r="D76" i="110"/>
  <c r="J76" i="110"/>
  <c r="O76" i="110"/>
  <c r="AF89" i="110"/>
  <c r="AD89" i="110"/>
  <c r="AJ88" i="110"/>
  <c r="AD88" i="110"/>
  <c r="Z87" i="110"/>
  <c r="H87" i="110"/>
  <c r="L87" i="110"/>
  <c r="P87" i="110"/>
  <c r="R87" i="110"/>
  <c r="D88" i="110"/>
  <c r="J88" i="110"/>
  <c r="R88" i="110"/>
  <c r="D89" i="110"/>
  <c r="J89" i="110"/>
  <c r="R89" i="110"/>
  <c r="D90" i="110"/>
  <c r="F90" i="110"/>
  <c r="AG104" i="110"/>
  <c r="AA104" i="110"/>
  <c r="U104" i="110"/>
  <c r="AG103" i="110"/>
  <c r="AA103" i="110"/>
  <c r="W103" i="110"/>
  <c r="U103" i="110"/>
  <c r="AG102" i="110"/>
  <c r="W102" i="110"/>
  <c r="AB104" i="110"/>
  <c r="AF103" i="110"/>
  <c r="AB103" i="110"/>
  <c r="AF102" i="110"/>
  <c r="AF101" i="110"/>
  <c r="AB101" i="110"/>
  <c r="AG101" i="110"/>
  <c r="AA101" i="110"/>
  <c r="W101" i="110"/>
  <c r="U101" i="110"/>
  <c r="D94" i="110"/>
  <c r="F94" i="110"/>
  <c r="H94" i="110"/>
  <c r="L94" i="110"/>
  <c r="N94" i="110"/>
  <c r="P94" i="110"/>
  <c r="H95" i="110"/>
  <c r="J95" i="110"/>
  <c r="N95" i="110"/>
  <c r="P95" i="110"/>
  <c r="R95" i="110"/>
  <c r="D96" i="110"/>
  <c r="F96" i="110"/>
  <c r="J96" i="110"/>
  <c r="L96" i="110"/>
  <c r="N96" i="110"/>
  <c r="P96" i="110"/>
  <c r="R96" i="110"/>
  <c r="D97" i="110"/>
  <c r="H97" i="110"/>
  <c r="J97" i="110"/>
  <c r="L97" i="110"/>
  <c r="N97" i="110"/>
  <c r="P97" i="110"/>
  <c r="E101" i="110"/>
  <c r="O101" i="110"/>
  <c r="E102" i="110"/>
  <c r="C96" i="110"/>
  <c r="G96" i="110"/>
  <c r="K96" i="110"/>
  <c r="O96" i="110"/>
  <c r="C97" i="110"/>
  <c r="G97" i="110"/>
  <c r="K97" i="110"/>
  <c r="O97" i="110"/>
  <c r="J101" i="110"/>
  <c r="J102" i="110"/>
  <c r="K6" i="95"/>
  <c r="K14" i="95"/>
  <c r="K10" i="95"/>
  <c r="F105" i="81" l="1"/>
  <c r="J39" i="81"/>
  <c r="AN197" i="100"/>
  <c r="AA202" i="100"/>
  <c r="AK202" i="100"/>
  <c r="AJ197" i="100"/>
  <c r="G103" i="98"/>
  <c r="AB203" i="100"/>
  <c r="AF205" i="100"/>
  <c r="AH202" i="100"/>
  <c r="AD202" i="100"/>
  <c r="AC198" i="100"/>
  <c r="AL197" i="100"/>
  <c r="AH198" i="100"/>
  <c r="AD200" i="100"/>
  <c r="AB204" i="100"/>
  <c r="AG205" i="100"/>
  <c r="AG200" i="100"/>
  <c r="AF200" i="100"/>
  <c r="AN204" i="100"/>
  <c r="AK197" i="100"/>
  <c r="AJ206" i="100"/>
  <c r="AI202" i="100"/>
  <c r="AI197" i="100"/>
  <c r="AH200" i="100"/>
  <c r="AM203" i="100"/>
  <c r="AA198" i="100"/>
  <c r="AD206" i="100"/>
  <c r="AD201" i="100"/>
  <c r="AC206" i="100"/>
  <c r="AM198" i="100"/>
  <c r="AJ202" i="100"/>
  <c r="AJ201" i="100"/>
  <c r="AA206" i="100"/>
  <c r="AK199" i="100"/>
  <c r="AH206" i="100"/>
  <c r="AH201" i="100"/>
  <c r="AH205" i="100"/>
  <c r="AN206" i="100"/>
  <c r="AN201" i="100"/>
  <c r="AM206" i="100"/>
  <c r="AM201" i="100"/>
  <c r="AD197" i="100"/>
  <c r="AC202" i="100"/>
  <c r="AC201" i="100"/>
  <c r="AL203" i="100"/>
  <c r="AA201" i="100"/>
  <c r="AH197" i="100"/>
  <c r="AI204" i="100"/>
  <c r="AN202" i="100"/>
  <c r="AM202" i="100"/>
  <c r="AM197" i="100"/>
  <c r="AM205" i="100"/>
  <c r="AF203" i="100"/>
  <c r="AE203" i="100"/>
  <c r="AC197" i="100"/>
  <c r="AB206" i="100"/>
  <c r="AL198" i="100"/>
  <c r="AC204" i="100"/>
  <c r="AA197" i="100"/>
  <c r="AJ204" i="100"/>
  <c r="AJ198" i="100"/>
  <c r="AG201" i="100"/>
  <c r="AF199" i="100"/>
  <c r="AC199" i="100"/>
  <c r="AF206" i="100"/>
  <c r="AF201" i="100"/>
  <c r="AE206" i="100"/>
  <c r="AE201" i="100"/>
  <c r="AE205" i="100"/>
  <c r="AM200" i="100"/>
  <c r="AL205" i="100"/>
  <c r="AL200" i="100"/>
  <c r="AE199" i="100"/>
  <c r="AB202" i="100"/>
  <c r="AB201" i="100"/>
  <c r="AJ205" i="100"/>
  <c r="AJ200" i="100"/>
  <c r="AG206" i="100"/>
  <c r="AG197" i="100"/>
  <c r="AN198" i="100"/>
  <c r="AA203" i="100"/>
  <c r="AK203" i="100"/>
  <c r="AF202" i="100"/>
  <c r="AF197" i="100"/>
  <c r="AE202" i="100"/>
  <c r="AE197" i="100"/>
  <c r="AE200" i="100"/>
  <c r="AD205" i="100"/>
  <c r="AK205" i="100"/>
  <c r="AD203" i="100"/>
  <c r="AB197" i="100"/>
  <c r="AB205" i="100"/>
  <c r="AB200" i="100"/>
  <c r="AG202" i="100"/>
  <c r="AI199" i="100"/>
  <c r="AH203" i="100"/>
  <c r="AG204" i="100"/>
  <c r="AG199" i="100"/>
  <c r="AL206" i="100"/>
  <c r="AC205" i="100"/>
  <c r="AK200" i="100"/>
  <c r="AD198" i="100"/>
  <c r="AI205" i="100"/>
  <c r="AI200" i="100"/>
  <c r="AB199" i="100"/>
  <c r="AH199" i="100"/>
  <c r="AN205" i="100"/>
  <c r="AN200" i="100"/>
  <c r="AL202" i="100"/>
  <c r="AL201" i="100"/>
  <c r="AK206" i="100"/>
  <c r="AK201" i="100"/>
  <c r="AC200" i="100"/>
  <c r="AI206" i="100"/>
  <c r="AI201" i="100"/>
  <c r="AA205" i="100"/>
  <c r="AA200" i="100"/>
  <c r="E88" i="81"/>
  <c r="E70" i="81"/>
  <c r="H92" i="81"/>
  <c r="E80" i="81"/>
  <c r="M55" i="81"/>
  <c r="K73" i="81"/>
  <c r="E30" i="101"/>
  <c r="E17" i="101"/>
  <c r="M62" i="81"/>
  <c r="M56" i="81"/>
  <c r="F117" i="81"/>
  <c r="H117" i="81"/>
  <c r="H42" i="81"/>
  <c r="G23" i="114"/>
  <c r="I18" i="117"/>
  <c r="M103" i="98"/>
  <c r="AJ118" i="98"/>
  <c r="E101" i="98"/>
  <c r="M103" i="101"/>
  <c r="L103" i="101"/>
  <c r="AH120" i="98"/>
  <c r="AJ113" i="98"/>
  <c r="G37" i="101"/>
  <c r="J17" i="114"/>
  <c r="G47" i="114"/>
  <c r="AF127" i="98"/>
  <c r="AD120" i="98"/>
  <c r="AH134" i="98"/>
  <c r="AJ119" i="98"/>
  <c r="P103" i="101"/>
  <c r="I60" i="106"/>
  <c r="I56" i="106"/>
  <c r="I51" i="106"/>
  <c r="I47" i="106"/>
  <c r="I43" i="106"/>
  <c r="I39" i="106"/>
  <c r="I35" i="106"/>
  <c r="I31" i="106"/>
  <c r="I23" i="106"/>
  <c r="I24" i="106"/>
  <c r="I19" i="106"/>
  <c r="I16" i="106"/>
  <c r="I11" i="106"/>
  <c r="I7" i="106"/>
  <c r="I44" i="106"/>
  <c r="I28" i="106"/>
  <c r="I20" i="106"/>
  <c r="I8" i="106"/>
  <c r="I59" i="106"/>
  <c r="I55" i="106"/>
  <c r="I50" i="106"/>
  <c r="I46" i="106"/>
  <c r="I42" i="106"/>
  <c r="I38" i="106"/>
  <c r="I34" i="106"/>
  <c r="I30" i="106"/>
  <c r="I27" i="106"/>
  <c r="I22" i="106"/>
  <c r="I18" i="106"/>
  <c r="I15" i="106"/>
  <c r="I10" i="106"/>
  <c r="I6" i="106"/>
  <c r="I58" i="106"/>
  <c r="I54" i="106"/>
  <c r="I53" i="106"/>
  <c r="I49" i="106"/>
  <c r="I45" i="106"/>
  <c r="I41" i="106"/>
  <c r="I37" i="106"/>
  <c r="I33" i="106"/>
  <c r="I29" i="106"/>
  <c r="I26" i="106"/>
  <c r="I21" i="106"/>
  <c r="I17" i="106"/>
  <c r="I13" i="106"/>
  <c r="I9" i="106"/>
  <c r="I57" i="106"/>
  <c r="I52" i="106"/>
  <c r="I48" i="106"/>
  <c r="I40" i="106"/>
  <c r="I32" i="106"/>
  <c r="I25" i="106"/>
  <c r="I14" i="106"/>
  <c r="I12" i="106"/>
  <c r="I36" i="106"/>
  <c r="X127" i="98"/>
  <c r="V120" i="98"/>
  <c r="AA111" i="98"/>
  <c r="G47" i="98"/>
  <c r="J38" i="81"/>
  <c r="E55" i="81"/>
  <c r="H28" i="101"/>
  <c r="M53" i="81"/>
  <c r="M57" i="81"/>
  <c r="H30" i="114"/>
  <c r="AF113" i="98"/>
  <c r="D101" i="101"/>
  <c r="Z117" i="101"/>
  <c r="V117" i="101"/>
  <c r="X110" i="101"/>
  <c r="G14" i="87"/>
  <c r="E14" i="87" s="1"/>
  <c r="G18" i="87"/>
  <c r="H18" i="87" s="1"/>
  <c r="G16" i="87"/>
  <c r="H16" i="87" s="1"/>
  <c r="G20" i="87"/>
  <c r="H20" i="87" s="1"/>
  <c r="E62" i="81"/>
  <c r="H45" i="81"/>
  <c r="AG111" i="98"/>
  <c r="AG113" i="98"/>
  <c r="K102" i="101"/>
  <c r="R102" i="101"/>
  <c r="Q102" i="101"/>
  <c r="L102" i="101"/>
  <c r="N102" i="101"/>
  <c r="M102" i="101"/>
  <c r="H102" i="101"/>
  <c r="J102" i="101"/>
  <c r="I102" i="101"/>
  <c r="D102" i="101"/>
  <c r="E103" i="101"/>
  <c r="F102" i="101"/>
  <c r="D103" i="101"/>
  <c r="E102" i="101"/>
  <c r="P102" i="101"/>
  <c r="G15" i="87"/>
  <c r="H15" i="87" s="1"/>
  <c r="G17" i="87"/>
  <c r="H17" i="87" s="1"/>
  <c r="G19" i="87"/>
  <c r="H19" i="87" s="1"/>
  <c r="G22" i="87"/>
  <c r="G6" i="87"/>
  <c r="E6" i="87" s="1"/>
  <c r="G7" i="87"/>
  <c r="H7" i="87" s="1"/>
  <c r="G8" i="87"/>
  <c r="E8" i="87" s="1"/>
  <c r="G9" i="87"/>
  <c r="E9" i="87" s="1"/>
  <c r="G10" i="87"/>
  <c r="H10" i="87" s="1"/>
  <c r="G11" i="87"/>
  <c r="E11" i="87" s="1"/>
  <c r="G12" i="87"/>
  <c r="H12" i="87" s="1"/>
  <c r="G13" i="87"/>
  <c r="H13" i="87" s="1"/>
  <c r="E53" i="81"/>
  <c r="K30" i="114"/>
  <c r="E17" i="98"/>
  <c r="H121" i="81"/>
  <c r="I121" i="81" s="1"/>
  <c r="E43" i="81"/>
  <c r="H38" i="81"/>
  <c r="G23" i="98"/>
  <c r="F121" i="81"/>
  <c r="K79" i="81"/>
  <c r="H52" i="81"/>
  <c r="K30" i="98"/>
  <c r="H53" i="81"/>
  <c r="K75" i="81"/>
  <c r="E30" i="98"/>
  <c r="H113" i="81"/>
  <c r="I113" i="81" s="1"/>
  <c r="H78" i="81"/>
  <c r="H69" i="81"/>
  <c r="E77" i="81"/>
  <c r="F113" i="81"/>
  <c r="H84" i="81"/>
  <c r="M102" i="98"/>
  <c r="H100" i="101"/>
  <c r="V134" i="98"/>
  <c r="AJ126" i="98"/>
  <c r="Y130" i="101"/>
  <c r="V127" i="98"/>
  <c r="H86" i="81"/>
  <c r="AB134" i="98"/>
  <c r="I102" i="98"/>
  <c r="D100" i="101"/>
  <c r="O102" i="101"/>
  <c r="G102" i="101"/>
  <c r="E60" i="81"/>
  <c r="Y118" i="98"/>
  <c r="E102" i="98"/>
  <c r="E87" i="81"/>
  <c r="AJ133" i="98"/>
  <c r="AF124" i="101"/>
  <c r="AD117" i="101"/>
  <c r="AF110" i="101"/>
  <c r="I103" i="101"/>
  <c r="AJ130" i="101"/>
  <c r="M43" i="81"/>
  <c r="AG112" i="98"/>
  <c r="P100" i="101"/>
  <c r="AD134" i="98"/>
  <c r="AB127" i="98"/>
  <c r="Z120" i="98"/>
  <c r="AG130" i="101"/>
  <c r="X130" i="101"/>
  <c r="J18" i="117"/>
  <c r="K18" i="117"/>
  <c r="H70" i="81"/>
  <c r="E74" i="81"/>
  <c r="M17" i="114"/>
  <c r="AA127" i="98"/>
  <c r="H30" i="101"/>
  <c r="AJ120" i="98"/>
  <c r="AB113" i="98"/>
  <c r="E103" i="98"/>
  <c r="V126" i="98"/>
  <c r="E100" i="101"/>
  <c r="H17" i="101"/>
  <c r="AA131" i="101"/>
  <c r="AC130" i="101"/>
  <c r="AB130" i="101"/>
  <c r="M17" i="101"/>
  <c r="AJ110" i="101"/>
  <c r="AH117" i="101"/>
  <c r="L100" i="101"/>
  <c r="H103" i="101"/>
  <c r="AB124" i="101"/>
  <c r="AH129" i="101"/>
  <c r="AB110" i="101"/>
  <c r="AK130" i="101"/>
  <c r="C102" i="101"/>
  <c r="W131" i="101"/>
  <c r="X124" i="101"/>
  <c r="AF130" i="101"/>
  <c r="AH113" i="98"/>
  <c r="V125" i="98"/>
  <c r="Q102" i="98"/>
  <c r="H101" i="98"/>
  <c r="AG134" i="98"/>
  <c r="C101" i="98"/>
  <c r="AC134" i="98"/>
  <c r="AI133" i="98"/>
  <c r="AE119" i="98"/>
  <c r="Y119" i="98"/>
  <c r="AF134" i="98"/>
  <c r="Y133" i="98"/>
  <c r="K101" i="98"/>
  <c r="AK134" i="98"/>
  <c r="AH127" i="98"/>
  <c r="AK120" i="98"/>
  <c r="AC111" i="98"/>
  <c r="Y120" i="98"/>
  <c r="AA125" i="98"/>
  <c r="AE117" i="98"/>
  <c r="AG124" i="98"/>
  <c r="AA113" i="98"/>
  <c r="V110" i="98"/>
  <c r="W111" i="98"/>
  <c r="X134" i="98"/>
  <c r="Z127" i="98"/>
  <c r="X120" i="98"/>
  <c r="Z113" i="98"/>
  <c r="AI126" i="98"/>
  <c r="AG119" i="98"/>
  <c r="AI112" i="98"/>
  <c r="AH111" i="98"/>
  <c r="AG127" i="98"/>
  <c r="AA126" i="98"/>
  <c r="AE118" i="98"/>
  <c r="V113" i="98"/>
  <c r="Y117" i="98"/>
  <c r="AG110" i="98"/>
  <c r="AA124" i="98"/>
  <c r="AJ117" i="98"/>
  <c r="AA110" i="98"/>
  <c r="AK127" i="98"/>
  <c r="AE126" i="98"/>
  <c r="AI120" i="98"/>
  <c r="AC119" i="98"/>
  <c r="AK113" i="98"/>
  <c r="AE112" i="98"/>
  <c r="W134" i="98"/>
  <c r="AD127" i="98"/>
  <c r="AB120" i="98"/>
  <c r="AD113" i="98"/>
  <c r="AC127" i="98"/>
  <c r="AF120" i="98"/>
  <c r="AC113" i="98"/>
  <c r="AG125" i="98"/>
  <c r="AE120" i="98"/>
  <c r="AA112" i="98"/>
  <c r="V111" i="98"/>
  <c r="V124" i="98"/>
  <c r="AE133" i="98"/>
  <c r="Y127" i="98"/>
  <c r="W120" i="98"/>
  <c r="Y113" i="98"/>
  <c r="W127" i="98"/>
  <c r="AA120" i="98"/>
  <c r="W113" i="98"/>
  <c r="AA133" i="98"/>
  <c r="AG126" i="98"/>
  <c r="V112" i="98"/>
  <c r="X113" i="98"/>
  <c r="Y134" i="98"/>
  <c r="Y132" i="98"/>
  <c r="AE127" i="98"/>
  <c r="Z126" i="98"/>
  <c r="AK124" i="98"/>
  <c r="AC120" i="98"/>
  <c r="X119" i="98"/>
  <c r="AI117" i="98"/>
  <c r="AE113" i="98"/>
  <c r="Z112" i="98"/>
  <c r="AK110" i="98"/>
  <c r="AE131" i="98"/>
  <c r="AI125" i="98"/>
  <c r="AD124" i="98"/>
  <c r="AG118" i="98"/>
  <c r="AB117" i="98"/>
  <c r="AI111" i="98"/>
  <c r="AD110" i="98"/>
  <c r="Q101" i="98"/>
  <c r="AK133" i="98"/>
  <c r="AK131" i="98"/>
  <c r="AH125" i="98"/>
  <c r="AC124" i="98"/>
  <c r="AK118" i="98"/>
  <c r="AF117" i="98"/>
  <c r="AC110" i="98"/>
  <c r="O101" i="98"/>
  <c r="AA131" i="98"/>
  <c r="C103" i="98"/>
  <c r="Z134" i="98"/>
  <c r="O102" i="98"/>
  <c r="AG133" i="98"/>
  <c r="AG131" i="98"/>
  <c r="AK125" i="98"/>
  <c r="AE124" i="98"/>
  <c r="AI118" i="98"/>
  <c r="AC117" i="98"/>
  <c r="AK111" i="98"/>
  <c r="AE110" i="98"/>
  <c r="W133" i="98"/>
  <c r="W131" i="98"/>
  <c r="AD125" i="98"/>
  <c r="Y124" i="98"/>
  <c r="AB118" i="98"/>
  <c r="W117" i="98"/>
  <c r="AD111" i="98"/>
  <c r="Y110" i="98"/>
  <c r="I101" i="98"/>
  <c r="AC133" i="98"/>
  <c r="AC131" i="98"/>
  <c r="AH126" i="98"/>
  <c r="AC125" i="98"/>
  <c r="W124" i="98"/>
  <c r="AK119" i="98"/>
  <c r="AF118" i="98"/>
  <c r="AA117" i="98"/>
  <c r="AH112" i="98"/>
  <c r="W110" i="98"/>
  <c r="G101" i="98"/>
  <c r="AI134" i="98"/>
  <c r="AI132" i="98"/>
  <c r="M101" i="98"/>
  <c r="K102" i="98"/>
  <c r="Y131" i="98"/>
  <c r="AK126" i="98"/>
  <c r="AE125" i="98"/>
  <c r="Z124" i="98"/>
  <c r="AI119" i="98"/>
  <c r="AC118" i="98"/>
  <c r="X117" i="98"/>
  <c r="AK112" i="98"/>
  <c r="AE111" i="98"/>
  <c r="Z110" i="98"/>
  <c r="AE134" i="98"/>
  <c r="AE132" i="98"/>
  <c r="AI127" i="98"/>
  <c r="AD126" i="98"/>
  <c r="Y125" i="98"/>
  <c r="AG120" i="98"/>
  <c r="AB119" i="98"/>
  <c r="W118" i="98"/>
  <c r="AI113" i="98"/>
  <c r="AD112" i="98"/>
  <c r="Y111" i="98"/>
  <c r="AK132" i="98"/>
  <c r="AC126" i="98"/>
  <c r="W125" i="98"/>
  <c r="AF119" i="98"/>
  <c r="AA118" i="98"/>
  <c r="AC112" i="98"/>
  <c r="AA134" i="98"/>
  <c r="AA132" i="98"/>
  <c r="G102" i="98"/>
  <c r="AG132" i="98"/>
  <c r="Z125" i="98"/>
  <c r="X118" i="98"/>
  <c r="Z111" i="98"/>
  <c r="W132" i="98"/>
  <c r="Y126" i="98"/>
  <c r="AI124" i="98"/>
  <c r="W119" i="98"/>
  <c r="AG117" i="98"/>
  <c r="Y112" i="98"/>
  <c r="AI110" i="98"/>
  <c r="AC132" i="98"/>
  <c r="W126" i="98"/>
  <c r="AH124" i="98"/>
  <c r="AA119" i="98"/>
  <c r="AK117" i="98"/>
  <c r="W112" i="98"/>
  <c r="AH110" i="98"/>
  <c r="AI131" i="98"/>
  <c r="E30" i="114"/>
  <c r="E83" i="81"/>
  <c r="E61" i="81"/>
  <c r="E79" i="81"/>
  <c r="I124" i="81"/>
  <c r="E38" i="81"/>
  <c r="H54" i="81"/>
  <c r="H46" i="81"/>
  <c r="E48" i="81"/>
  <c r="E71" i="81"/>
  <c r="K91" i="81"/>
  <c r="E82" i="81"/>
  <c r="E91" i="81"/>
  <c r="E44" i="81"/>
  <c r="I123" i="81"/>
  <c r="I115" i="81"/>
  <c r="I107" i="81"/>
  <c r="I99" i="81"/>
  <c r="M54" i="81"/>
  <c r="K17" i="115"/>
  <c r="J17" i="115"/>
  <c r="I17" i="115"/>
  <c r="AJ124" i="101"/>
  <c r="O100" i="101"/>
  <c r="G101" i="101"/>
  <c r="AI129" i="101"/>
  <c r="W124" i="101"/>
  <c r="AA117" i="101"/>
  <c r="W110" i="101"/>
  <c r="AI124" i="101"/>
  <c r="AD123" i="101"/>
  <c r="Y122" i="101"/>
  <c r="AG117" i="101"/>
  <c r="AB116" i="101"/>
  <c r="W115" i="101"/>
  <c r="AI110" i="101"/>
  <c r="AD109" i="101"/>
  <c r="Y108" i="101"/>
  <c r="AD131" i="101"/>
  <c r="O101" i="101"/>
  <c r="V131" i="101"/>
  <c r="AH124" i="101"/>
  <c r="AC123" i="101"/>
  <c r="AK117" i="101"/>
  <c r="AF116" i="101"/>
  <c r="AH110" i="101"/>
  <c r="AC109" i="101"/>
  <c r="Z130" i="101"/>
  <c r="K101" i="101"/>
  <c r="K100" i="101"/>
  <c r="AE129" i="101"/>
  <c r="V124" i="101"/>
  <c r="AG122" i="101"/>
  <c r="AA121" i="101"/>
  <c r="Y117" i="101"/>
  <c r="AJ115" i="101"/>
  <c r="AE114" i="101"/>
  <c r="V110" i="101"/>
  <c r="AG108" i="101"/>
  <c r="AA107" i="101"/>
  <c r="Z124" i="101"/>
  <c r="AK122" i="101"/>
  <c r="AE121" i="101"/>
  <c r="X117" i="101"/>
  <c r="AI115" i="101"/>
  <c r="AC114" i="101"/>
  <c r="Z110" i="101"/>
  <c r="AK108" i="101"/>
  <c r="AE107" i="101"/>
  <c r="AI128" i="101"/>
  <c r="AH123" i="101"/>
  <c r="AC122" i="101"/>
  <c r="W121" i="101"/>
  <c r="AK116" i="101"/>
  <c r="AF115" i="101"/>
  <c r="AA114" i="101"/>
  <c r="AH109" i="101"/>
  <c r="AC108" i="101"/>
  <c r="W107" i="101"/>
  <c r="AE131" i="101"/>
  <c r="AE128" i="101"/>
  <c r="AG123" i="101"/>
  <c r="AA122" i="101"/>
  <c r="V121" i="101"/>
  <c r="AJ116" i="101"/>
  <c r="AE115" i="101"/>
  <c r="Y114" i="101"/>
  <c r="AG109" i="101"/>
  <c r="AA108" i="101"/>
  <c r="V107" i="101"/>
  <c r="AA128" i="101"/>
  <c r="AK123" i="101"/>
  <c r="AE122" i="101"/>
  <c r="Z121" i="101"/>
  <c r="AI116" i="101"/>
  <c r="AC115" i="101"/>
  <c r="X114" i="101"/>
  <c r="AK109" i="101"/>
  <c r="AE108" i="101"/>
  <c r="Z107" i="101"/>
  <c r="W130" i="101"/>
  <c r="AD124" i="101"/>
  <c r="Y123" i="101"/>
  <c r="AI121" i="101"/>
  <c r="AB117" i="101"/>
  <c r="W116" i="101"/>
  <c r="AG114" i="101"/>
  <c r="AD110" i="101"/>
  <c r="Y109" i="101"/>
  <c r="AI107" i="101"/>
  <c r="W122" i="101"/>
  <c r="AA115" i="101"/>
  <c r="W108" i="101"/>
  <c r="AG124" i="101"/>
  <c r="AA123" i="101"/>
  <c r="V122" i="101"/>
  <c r="AJ117" i="101"/>
  <c r="AE116" i="101"/>
  <c r="Y115" i="101"/>
  <c r="AG110" i="101"/>
  <c r="AA109" i="101"/>
  <c r="V108" i="101"/>
  <c r="AK124" i="101"/>
  <c r="AE123" i="101"/>
  <c r="Z122" i="101"/>
  <c r="AI117" i="101"/>
  <c r="AC116" i="101"/>
  <c r="X115" i="101"/>
  <c r="AK110" i="101"/>
  <c r="AE109" i="101"/>
  <c r="Z108" i="101"/>
  <c r="W129" i="101"/>
  <c r="Y124" i="101"/>
  <c r="AI122" i="101"/>
  <c r="AD121" i="101"/>
  <c r="W117" i="101"/>
  <c r="AG115" i="101"/>
  <c r="AB114" i="101"/>
  <c r="Y110" i="101"/>
  <c r="AI108" i="101"/>
  <c r="AD107" i="101"/>
  <c r="AI130" i="101"/>
  <c r="AC124" i="101"/>
  <c r="W123" i="101"/>
  <c r="AH121" i="101"/>
  <c r="AF117" i="101"/>
  <c r="AA116" i="101"/>
  <c r="AK114" i="101"/>
  <c r="AC110" i="101"/>
  <c r="W109" i="101"/>
  <c r="AH107" i="101"/>
  <c r="AE130" i="101"/>
  <c r="AA124" i="101"/>
  <c r="V123" i="101"/>
  <c r="AG121" i="101"/>
  <c r="AE117" i="101"/>
  <c r="Y116" i="101"/>
  <c r="AJ114" i="101"/>
  <c r="AA110" i="101"/>
  <c r="V109" i="101"/>
  <c r="AG107" i="101"/>
  <c r="AA130" i="101"/>
  <c r="AE124" i="101"/>
  <c r="Z123" i="101"/>
  <c r="AK121" i="101"/>
  <c r="AC117" i="101"/>
  <c r="X116" i="101"/>
  <c r="AI114" i="101"/>
  <c r="AE110" i="101"/>
  <c r="Z109" i="101"/>
  <c r="AK107" i="101"/>
  <c r="W128" i="101"/>
  <c r="AI123" i="101"/>
  <c r="AD122" i="101"/>
  <c r="Y121" i="101"/>
  <c r="AG116" i="101"/>
  <c r="AB115" i="101"/>
  <c r="W114" i="101"/>
  <c r="AI109" i="101"/>
  <c r="AD108" i="101"/>
  <c r="Y107" i="101"/>
  <c r="AH122" i="101"/>
  <c r="AC121" i="101"/>
  <c r="AK115" i="101"/>
  <c r="AF114" i="101"/>
  <c r="AH108" i="101"/>
  <c r="AC107" i="101"/>
  <c r="AI131" i="101"/>
  <c r="AA129" i="101"/>
  <c r="M45" i="81"/>
  <c r="E54" i="81"/>
  <c r="I119" i="81"/>
  <c r="I111" i="81"/>
  <c r="I103" i="81"/>
  <c r="E50" i="81"/>
  <c r="E90" i="81"/>
  <c r="K83" i="81"/>
  <c r="E75" i="81"/>
  <c r="E63" i="81"/>
  <c r="E59" i="81"/>
  <c r="M41" i="81"/>
  <c r="M50" i="81"/>
  <c r="M42" i="81"/>
  <c r="I117" i="81"/>
  <c r="I109" i="81"/>
  <c r="I105" i="81"/>
  <c r="I101" i="81"/>
  <c r="H94" i="81"/>
  <c r="H50" i="81"/>
  <c r="E45" i="81"/>
  <c r="H82" i="81"/>
  <c r="H75" i="81"/>
  <c r="AB133" i="98"/>
  <c r="AB132" i="98"/>
  <c r="AB131" i="98"/>
  <c r="AH128" i="101"/>
  <c r="AJ123" i="101"/>
  <c r="AJ122" i="101"/>
  <c r="AJ121" i="101"/>
  <c r="AH116" i="101"/>
  <c r="AH115" i="101"/>
  <c r="AH114" i="101"/>
  <c r="AJ109" i="101"/>
  <c r="AJ108" i="101"/>
  <c r="AJ107" i="101"/>
  <c r="AH133" i="98"/>
  <c r="AH132" i="98"/>
  <c r="AH131" i="98"/>
  <c r="AF126" i="98"/>
  <c r="AF125" i="98"/>
  <c r="AF124" i="98"/>
  <c r="AD119" i="98"/>
  <c r="AD118" i="98"/>
  <c r="AD117" i="98"/>
  <c r="AF112" i="98"/>
  <c r="AF111" i="98"/>
  <c r="AF110" i="98"/>
  <c r="AK129" i="101"/>
  <c r="AK128" i="101"/>
  <c r="R101" i="101"/>
  <c r="C100" i="101"/>
  <c r="AJ129" i="101"/>
  <c r="AJ128" i="101"/>
  <c r="C103" i="101"/>
  <c r="E101" i="101"/>
  <c r="F100" i="101"/>
  <c r="AH131" i="101"/>
  <c r="F22" i="82"/>
  <c r="G22" i="82"/>
  <c r="G25" i="82"/>
  <c r="F25" i="82"/>
  <c r="J23" i="82"/>
  <c r="K23" i="82"/>
  <c r="J28" i="82"/>
  <c r="K28" i="82"/>
  <c r="G24" i="82"/>
  <c r="F24" i="82"/>
  <c r="F103" i="101"/>
  <c r="N102" i="98"/>
  <c r="AH130" i="101"/>
  <c r="L102" i="98"/>
  <c r="N103" i="101"/>
  <c r="C36" i="82"/>
  <c r="B36" i="82"/>
  <c r="F43" i="82"/>
  <c r="G43" i="82"/>
  <c r="C39" i="82"/>
  <c r="B39" i="82"/>
  <c r="F37" i="82"/>
  <c r="G37" i="82"/>
  <c r="G38" i="82"/>
  <c r="F38" i="82"/>
  <c r="H120" i="81"/>
  <c r="I120" i="81" s="1"/>
  <c r="F120" i="81"/>
  <c r="H116" i="81"/>
  <c r="I116" i="81" s="1"/>
  <c r="F116" i="81"/>
  <c r="H112" i="81"/>
  <c r="I112" i="81" s="1"/>
  <c r="F112" i="81"/>
  <c r="H108" i="81"/>
  <c r="I108" i="81" s="1"/>
  <c r="F108" i="81"/>
  <c r="H104" i="81"/>
  <c r="I104" i="81" s="1"/>
  <c r="F104" i="81"/>
  <c r="H100" i="81"/>
  <c r="I100" i="81" s="1"/>
  <c r="F100" i="81"/>
  <c r="H74" i="81"/>
  <c r="X133" i="98"/>
  <c r="X132" i="98"/>
  <c r="X131" i="98"/>
  <c r="AD130" i="101"/>
  <c r="AD129" i="101"/>
  <c r="AD128" i="101"/>
  <c r="AF123" i="101"/>
  <c r="AF122" i="101"/>
  <c r="AF121" i="101"/>
  <c r="AD116" i="101"/>
  <c r="AD115" i="101"/>
  <c r="AD114" i="101"/>
  <c r="AF109" i="101"/>
  <c r="AF108" i="101"/>
  <c r="AF107" i="101"/>
  <c r="AD133" i="98"/>
  <c r="AD132" i="98"/>
  <c r="AD131" i="98"/>
  <c r="AB126" i="98"/>
  <c r="AB125" i="98"/>
  <c r="AB124" i="98"/>
  <c r="Z119" i="98"/>
  <c r="Z118" i="98"/>
  <c r="Z117" i="98"/>
  <c r="AB112" i="98"/>
  <c r="AB111" i="98"/>
  <c r="AB110" i="98"/>
  <c r="AG129" i="101"/>
  <c r="AG128" i="101"/>
  <c r="N101" i="101"/>
  <c r="AF129" i="101"/>
  <c r="AF128" i="101"/>
  <c r="O103" i="101"/>
  <c r="Q101" i="101"/>
  <c r="R100" i="101"/>
  <c r="J103" i="101"/>
  <c r="K24" i="82"/>
  <c r="J24" i="82"/>
  <c r="J27" i="82"/>
  <c r="K27" i="82"/>
  <c r="K26" i="82"/>
  <c r="J26" i="82"/>
  <c r="G29" i="82"/>
  <c r="F29" i="82"/>
  <c r="J25" i="82"/>
  <c r="K25" i="82"/>
  <c r="H101" i="101"/>
  <c r="F102" i="98"/>
  <c r="R103" i="101"/>
  <c r="D102" i="98"/>
  <c r="P101" i="101"/>
  <c r="F39" i="82"/>
  <c r="G39" i="82"/>
  <c r="C35" i="82"/>
  <c r="B35" i="82"/>
  <c r="B37" i="82"/>
  <c r="C37" i="82"/>
  <c r="B41" i="82"/>
  <c r="C41" i="82"/>
  <c r="F40" i="82"/>
  <c r="G40" i="82"/>
  <c r="H91" i="81"/>
  <c r="AJ132" i="98"/>
  <c r="AJ131" i="98"/>
  <c r="Z129" i="101"/>
  <c r="Z128" i="101"/>
  <c r="AB123" i="101"/>
  <c r="AB122" i="101"/>
  <c r="AB121" i="101"/>
  <c r="Z116" i="101"/>
  <c r="Z115" i="101"/>
  <c r="Z114" i="101"/>
  <c r="AB109" i="101"/>
  <c r="AB108" i="101"/>
  <c r="AB107" i="101"/>
  <c r="Z133" i="98"/>
  <c r="Z132" i="98"/>
  <c r="Z131" i="98"/>
  <c r="X126" i="98"/>
  <c r="X125" i="98"/>
  <c r="X124" i="98"/>
  <c r="V119" i="98"/>
  <c r="V118" i="98"/>
  <c r="V117" i="98"/>
  <c r="X112" i="98"/>
  <c r="X111" i="98"/>
  <c r="X110" i="98"/>
  <c r="AC129" i="101"/>
  <c r="AC128" i="101"/>
  <c r="J101" i="101"/>
  <c r="AB129" i="101"/>
  <c r="AB128" i="101"/>
  <c r="K103" i="101"/>
  <c r="M101" i="101"/>
  <c r="N100" i="101"/>
  <c r="R102" i="98"/>
  <c r="AG131" i="101"/>
  <c r="L101" i="101"/>
  <c r="K22" i="82"/>
  <c r="J22" i="82"/>
  <c r="J20" i="82"/>
  <c r="K20" i="82"/>
  <c r="F23" i="82"/>
  <c r="G23" i="82"/>
  <c r="F20" i="82"/>
  <c r="G20" i="82"/>
  <c r="F28" i="82"/>
  <c r="G28" i="82"/>
  <c r="P102" i="98"/>
  <c r="AK131" i="101"/>
  <c r="I100" i="101"/>
  <c r="AJ131" i="101"/>
  <c r="AC131" i="101"/>
  <c r="Q100" i="101"/>
  <c r="C43" i="82"/>
  <c r="B43" i="82"/>
  <c r="C44" i="82"/>
  <c r="B44" i="82"/>
  <c r="C38" i="82"/>
  <c r="B38" i="82"/>
  <c r="C42" i="82"/>
  <c r="B42" i="82"/>
  <c r="G42" i="82"/>
  <c r="F42" i="82"/>
  <c r="H122" i="81"/>
  <c r="I122" i="81" s="1"/>
  <c r="F122" i="81"/>
  <c r="H118" i="81"/>
  <c r="I118" i="81" s="1"/>
  <c r="F118" i="81"/>
  <c r="H114" i="81"/>
  <c r="I114" i="81" s="1"/>
  <c r="F114" i="81"/>
  <c r="H110" i="81"/>
  <c r="I110" i="81" s="1"/>
  <c r="F110" i="81"/>
  <c r="H106" i="81"/>
  <c r="I106" i="81" s="1"/>
  <c r="F106" i="81"/>
  <c r="H102" i="81"/>
  <c r="I102" i="81" s="1"/>
  <c r="F102" i="81"/>
  <c r="H98" i="81"/>
  <c r="I98" i="81" s="1"/>
  <c r="F98" i="81"/>
  <c r="H90" i="81"/>
  <c r="H83" i="81"/>
  <c r="AF133" i="98"/>
  <c r="AF132" i="98"/>
  <c r="AF131" i="98"/>
  <c r="Z131" i="101"/>
  <c r="V130" i="101"/>
  <c r="V129" i="101"/>
  <c r="V128" i="101"/>
  <c r="X123" i="101"/>
  <c r="X122" i="101"/>
  <c r="X121" i="101"/>
  <c r="V116" i="101"/>
  <c r="V115" i="101"/>
  <c r="V114" i="101"/>
  <c r="X109" i="101"/>
  <c r="X108" i="101"/>
  <c r="X107" i="101"/>
  <c r="C101" i="101"/>
  <c r="V133" i="98"/>
  <c r="V132" i="98"/>
  <c r="V131" i="98"/>
  <c r="AJ125" i="98"/>
  <c r="AJ124" i="98"/>
  <c r="AH119" i="98"/>
  <c r="AH118" i="98"/>
  <c r="AH117" i="98"/>
  <c r="AJ112" i="98"/>
  <c r="AJ111" i="98"/>
  <c r="AJ110" i="98"/>
  <c r="Y129" i="101"/>
  <c r="Y128" i="101"/>
  <c r="F101" i="101"/>
  <c r="G100" i="101"/>
  <c r="X129" i="101"/>
  <c r="X128" i="101"/>
  <c r="G103" i="101"/>
  <c r="I101" i="101"/>
  <c r="J100" i="101"/>
  <c r="J102" i="98"/>
  <c r="AB131" i="101"/>
  <c r="M100" i="101"/>
  <c r="G27" i="82"/>
  <c r="F27" i="82"/>
  <c r="G21" i="82"/>
  <c r="F21" i="82"/>
  <c r="F26" i="82"/>
  <c r="G26" i="82"/>
  <c r="K21" i="82"/>
  <c r="J21" i="82"/>
  <c r="K29" i="82"/>
  <c r="J29" i="82"/>
  <c r="B6" i="87"/>
  <c r="C21" i="87"/>
  <c r="D27" i="82"/>
  <c r="C27" i="82" s="1"/>
  <c r="B27" i="82" s="1"/>
  <c r="D23" i="82"/>
  <c r="C23" i="82" s="1"/>
  <c r="B23" i="82" s="1"/>
  <c r="D24" i="82"/>
  <c r="C24" i="82" s="1"/>
  <c r="B24" i="82" s="1"/>
  <c r="D21" i="82"/>
  <c r="C21" i="82" s="1"/>
  <c r="B21" i="82" s="1"/>
  <c r="D29" i="82"/>
  <c r="C29" i="82" s="1"/>
  <c r="B29" i="82" s="1"/>
  <c r="D26" i="82"/>
  <c r="C26" i="82" s="1"/>
  <c r="B26" i="82" s="1"/>
  <c r="D28" i="82"/>
  <c r="C28" i="82" s="1"/>
  <c r="B28" i="82" s="1"/>
  <c r="D22" i="82"/>
  <c r="C22" i="82" s="1"/>
  <c r="B22" i="82" s="1"/>
  <c r="D25" i="82"/>
  <c r="C25" i="82" s="1"/>
  <c r="B25" i="82" s="1"/>
  <c r="D20" i="82"/>
  <c r="C20" i="82" s="1"/>
  <c r="B20" i="82" s="1"/>
  <c r="AJ127" i="98"/>
  <c r="AF131" i="101"/>
  <c r="Y131" i="101"/>
  <c r="AJ134" i="98"/>
  <c r="X131" i="101"/>
  <c r="C40" i="82"/>
  <c r="B40" i="82"/>
  <c r="F35" i="82"/>
  <c r="G35" i="82"/>
  <c r="F41" i="82"/>
  <c r="G41" i="82"/>
  <c r="F36" i="82"/>
  <c r="G36" i="82"/>
  <c r="F44" i="82"/>
  <c r="G44" i="82"/>
  <c r="M18" i="117" l="1"/>
  <c r="M17" i="115"/>
  <c r="H8" i="87"/>
  <c r="E18" i="87"/>
  <c r="E16" i="87"/>
  <c r="H14" i="87"/>
  <c r="E20" i="87"/>
  <c r="H11" i="87"/>
  <c r="E7" i="87"/>
  <c r="E15" i="87"/>
  <c r="E10" i="87"/>
  <c r="E19" i="87"/>
  <c r="E17" i="87"/>
  <c r="E13" i="87"/>
  <c r="H6" i="87"/>
  <c r="E12" i="87"/>
  <c r="G21" i="87"/>
  <c r="H9"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<sst xmlns="http://schemas.openxmlformats.org/spreadsheetml/2006/main" count="7671" uniqueCount="1380">
  <si>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</si>
  <si>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</si>
  <si>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</si>
  <si>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</si>
  <si>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</si>
  <si>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</si>
  <si>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</si>
  <si>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</si>
  <si>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</si>
  <si>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</si>
  <si>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</si>
  <si>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</si>
  <si>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</si>
  <si>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</si>
  <si>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</si>
  <si>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</si>
  <si>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</si>
  <si>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</si>
  <si>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</si>
  <si>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</si>
  <si>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</si>
  <si>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</si>
  <si>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</si>
  <si>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</si>
  <si>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</si>
  <si>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</si>
  <si>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</si>
  <si>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</si>
  <si>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</si>
  <si>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</si>
  <si>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</si>
  <si>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</si>
  <si>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</si>
  <si>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</si>
  <si>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</si>
  <si>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</si>
  <si>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</si>
  <si>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</si>
  <si>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</si>
  <si>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</si>
  <si>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</si>
  <si>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</si>
  <si>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</si>
  <si>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</si>
  <si>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</si>
  <si>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</si>
  <si>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</si>
  <si>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</si>
  <si>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</si>
  <si>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</si>
  <si>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</si>
  <si>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</si>
  <si>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</si>
  <si>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</si>
  <si>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</si>
  <si>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</si>
  <si>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</si>
  <si>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</si>
  <si>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</si>
  <si>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</si>
  <si>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</si>
  <si>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</si>
  <si>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</si>
  <si>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</si>
  <si>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</si>
  <si>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</si>
  <si>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</si>
  <si>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</si>
  <si>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</si>
  <si>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</si>
  <si>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</si>
  <si>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</si>
  <si>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</si>
  <si>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</si>
  <si>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</si>
  <si>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</si>
  <si>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</si>
  <si>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</si>
  <si>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</si>
  <si>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</si>
  <si>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</si>
  <si>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</si>
  <si>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</si>
  <si>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</si>
  <si>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</si>
  <si>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</si>
  <si>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</si>
  <si>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</si>
  <si>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</si>
  <si>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</si>
  <si>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</si>
  <si>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</si>
  <si>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</si>
  <si>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</si>
  <si>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</si>
  <si>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</si>
  <si>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</si>
  <si>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</si>
  <si>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</si>
  <si>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</si>
  <si>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</si>
  <si>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</si>
  <si>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</si>
  <si>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</si>
  <si>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</si>
  <si>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</si>
  <si>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</si>
  <si>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</si>
  <si>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</si>
  <si>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</si>
  <si>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</si>
  <si>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</si>
  <si>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</si>
  <si>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</si>
  <si>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</si>
  <si>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</si>
  <si>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</si>
  <si>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</si>
  <si>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</si>
  <si>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</si>
  <si>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</si>
  <si>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</si>
  <si>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</si>
  <si>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</si>
  <si>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</si>
  <si>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</si>
  <si>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</si>
  <si>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</si>
  <si>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</si>
  <si>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</si>
  <si>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</si>
  <si>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</si>
  <si>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</si>
  <si>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</si>
  <si>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</si>
  <si>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</si>
  <si>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</si>
  <si>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</si>
  <si>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</si>
  <si>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</si>
  <si>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</si>
  <si>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</si>
  <si>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</si>
  <si>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</si>
  <si>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</si>
  <si>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</si>
  <si>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</si>
  <si>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</si>
  <si>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</si>
  <si>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</si>
  <si>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</si>
  <si>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</si>
  <si>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</si>
  <si>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</si>
  <si>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</si>
  <si>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</si>
  <si>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</si>
  <si>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</si>
  <si>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</si>
  <si>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</si>
  <si>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</si>
  <si>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</si>
  <si>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</si>
  <si>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</si>
  <si>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</si>
  <si>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</si>
  <si>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</si>
  <si>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</si>
  <si>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</si>
  <si>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</si>
  <si>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</si>
  <si>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</si>
  <si>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</si>
  <si>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</si>
  <si>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</si>
  <si>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</si>
  <si>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</si>
  <si>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</si>
  <si>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</si>
  <si>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</si>
  <si>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</si>
  <si>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</si>
  <si>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</si>
  <si>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</si>
  <si>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</si>
  <si>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</si>
  <si>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</si>
  <si>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</si>
  <si>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</si>
  <si>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</si>
  <si>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</si>
  <si>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</si>
  <si>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</si>
  <si>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</si>
  <si>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</si>
  <si>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</si>
  <si>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</si>
  <si>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</si>
  <si>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</si>
  <si>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</si>
  <si>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</si>
  <si>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</si>
  <si>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</si>
  <si>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</si>
  <si>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</si>
  <si>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</si>
  <si>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</si>
  <si>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</si>
  <si>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</si>
  <si>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</si>
  <si>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</si>
  <si>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</si>
  <si>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</si>
  <si>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</si>
  <si>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</si>
  <si>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</si>
  <si>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</si>
  <si>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</si>
  <si>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</si>
  <si>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</si>
  <si>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</si>
  <si>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</si>
  <si>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</si>
  <si>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</si>
  <si>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</si>
  <si>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</si>
  <si>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</si>
  <si>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</si>
  <si>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</si>
  <si>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</si>
  <si>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</si>
  <si>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</si>
  <si>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</si>
  <si>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</si>
  <si>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</si>
  <si>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</si>
  <si>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</si>
  <si>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</si>
  <si>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</si>
  <si>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</si>
  <si>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</si>
  <si>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</si>
  <si>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</si>
  <si>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</si>
  <si>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</si>
  <si>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</si>
  <si>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</si>
  <si>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</si>
  <si>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</si>
  <si>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</si>
  <si>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</si>
  <si>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</si>
  <si>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</si>
  <si>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</si>
  <si>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</si>
  <si>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</si>
  <si>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</si>
  <si>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</si>
  <si>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</si>
  <si>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</si>
  <si>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</si>
  <si>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</si>
  <si>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</si>
  <si>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</si>
  <si>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</si>
  <si>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</si>
  <si>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</si>
  <si>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</si>
  <si>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</si>
  <si>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</si>
  <si>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</si>
  <si>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</si>
  <si>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</si>
  <si>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</si>
  <si>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</si>
  <si>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</si>
  <si>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</si>
  <si>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</si>
  <si>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Gateshead - N54</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</si>
  <si>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</si>
  <si>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</si>
  <si>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</si>
  <si>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</si>
  <si>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</si>
  <si>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</si>
  <si>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</si>
  <si>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</si>
  <si>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</si>
  <si>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</si>
  <si>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</si>
  <si>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</si>
  <si>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</si>
  <si>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</si>
  <si>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</si>
  <si>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</si>
  <si>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</si>
  <si>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</si>
  <si>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</si>
  <si>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</si>
  <si>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</si>
  <si>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</si>
  <si>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</si>
  <si>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</si>
  <si>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</si>
  <si>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</si>
  <si>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</si>
  <si>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</si>
  <si>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</si>
  <si>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</si>
  <si>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</si>
  <si>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</si>
  <si>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</si>
  <si>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</si>
  <si>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</si>
  <si>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</si>
  <si>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</si>
  <si>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</si>
  <si>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</si>
  <si>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</si>
  <si>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</si>
  <si>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</si>
  <si>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</si>
  <si>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</si>
  <si>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</si>
  <si>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</si>
  <si>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</si>
  <si>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</si>
  <si>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</si>
  <si>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</si>
  <si>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</si>
  <si>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</si>
  <si>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</si>
  <si>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</si>
  <si>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</si>
  <si>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</si>
  <si>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</si>
  <si>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</si>
  <si>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</si>
  <si>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</si>
  <si>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</si>
  <si>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</si>
  <si>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</si>
  <si>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</si>
  <si>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</si>
  <si>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</si>
  <si>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</si>
  <si>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</si>
  <si>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</si>
  <si>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</si>
  <si>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</si>
  <si>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</si>
  <si>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</si>
  <si>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</si>
  <si>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EYK BEV PPU1</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</si>
  <si>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</si>
  <si>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</si>
  <si>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</si>
  <si>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</si>
  <si>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</si>
  <si>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</si>
  <si>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</si>
  <si>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</si>
  <si>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</si>
  <si>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</si>
  <si>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</si>
  <si>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EYK BRI PPU2</t>
  </si>
  <si>
    <t>Southwark - N07</t>
  </si>
  <si>
    <t>Leicester City 4 - N53</t>
  </si>
  <si>
    <t>HFS-Cheshunt SM</t>
  </si>
  <si>
    <t>GM Manchester S5</t>
  </si>
  <si>
    <t>SRY-Staines - N57</t>
  </si>
  <si>
    <t>Awaiting Allocation NEWHAM</t>
  </si>
  <si>
    <t>Middlesbrough 3</t>
  </si>
  <si>
    <t>Burnley 3 - N51</t>
  </si>
  <si>
    <t>Conwy - Team 1</t>
  </si>
  <si>
    <t>East Birmingham 1</t>
  </si>
  <si>
    <t>EYK GOOLE PPU3</t>
  </si>
  <si>
    <t>Tower Hamlets</t>
  </si>
  <si>
    <t>Leicester City 5 - N53</t>
  </si>
  <si>
    <t>GM Oldham 1 - N50</t>
  </si>
  <si>
    <t>Awaiting Allocation REDBRIDGE</t>
  </si>
  <si>
    <t>NBR Gateshead LMC - N54</t>
  </si>
  <si>
    <t>Carlisle 1</t>
  </si>
  <si>
    <t>Denbighshire - Team 1</t>
  </si>
  <si>
    <t>East Birmingham 2</t>
  </si>
  <si>
    <t>GRI PPU1</t>
  </si>
  <si>
    <t>Unallocated Level 2(N07)</t>
  </si>
  <si>
    <t>Leicester City 6</t>
  </si>
  <si>
    <t>GM Oldham 2</t>
  </si>
  <si>
    <t>Awaiting Allocation SOUTHWARK</t>
  </si>
  <si>
    <t>NBR Hub Team</t>
  </si>
  <si>
    <t>Carlisle 2</t>
  </si>
  <si>
    <t>East Gwent Team</t>
  </si>
  <si>
    <t>East Birmingham 3</t>
  </si>
  <si>
    <t>GRI PPU2</t>
  </si>
  <si>
    <t>Unpaid Work and Attendance Centres - N07</t>
  </si>
  <si>
    <t>Leicester City 7</t>
  </si>
  <si>
    <t>HFS-St Albans SM</t>
  </si>
  <si>
    <t>GM Oldham 3 - N50</t>
  </si>
  <si>
    <t>SXE-Brighton 2 - N57</t>
  </si>
  <si>
    <t>Awaiting Allocation TOWER HAMLETS</t>
  </si>
  <si>
    <t>NBR North Tyneside LMC - N54</t>
  </si>
  <si>
    <t>Carlisle 3 - N51</t>
  </si>
  <si>
    <t>Flintshire - Team 1</t>
  </si>
  <si>
    <t>Hereford</t>
  </si>
  <si>
    <t>GRI PPU3 - N55</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</si>
  <si>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</si>
  <si>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</si>
  <si>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</si>
  <si>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</si>
  <si>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</si>
  <si>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</si>
  <si>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</si>
  <si>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</si>
  <si>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</si>
  <si>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</si>
  <si>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GRI PPU4 - N55</t>
  </si>
  <si>
    <t>Leicester City Resettlement - N53</t>
  </si>
  <si>
    <t>HFS-UPW SA</t>
  </si>
  <si>
    <t>GM Salford 2</t>
  </si>
  <si>
    <t>SXE-Eastbourne</t>
  </si>
  <si>
    <t>Awaiting Allocation WANDSWORTH</t>
  </si>
  <si>
    <t>NBR South Tyneside LMC - N54</t>
  </si>
  <si>
    <t>Chester 2 - N51</t>
  </si>
  <si>
    <t>Inactive Team(N59)</t>
  </si>
  <si>
    <t>Gwent - STS Team</t>
  </si>
  <si>
    <t>IOM Birmingham Central &amp; South</t>
  </si>
  <si>
    <t>HUL Public Protection 5 - N55</t>
  </si>
  <si>
    <t>Leicester Young Adults</t>
  </si>
  <si>
    <t>HFS-Watford SM</t>
  </si>
  <si>
    <t>GM Salford 3 - N50</t>
  </si>
  <si>
    <t>SXE-Hastings</t>
  </si>
  <si>
    <t>BAR 1</t>
  </si>
  <si>
    <t>NBR Sunderland LMC - N54</t>
  </si>
  <si>
    <t>Chorley 1</t>
  </si>
  <si>
    <t>Gwynedd - Team 1</t>
  </si>
  <si>
    <t>IOM Birmingham North, East</t>
  </si>
  <si>
    <t>HUL Public Protection 6 - N55</t>
  </si>
  <si>
    <t>Leicester Women's</t>
  </si>
  <si>
    <t>Inactive Team(N56)</t>
  </si>
  <si>
    <t>GM Salford 4</t>
  </si>
  <si>
    <t>SXE-Hastings 2 - N57</t>
  </si>
  <si>
    <t>BAR 2 - N07</t>
  </si>
  <si>
    <t>NBR UPW Hub Practitioner - N54</t>
  </si>
  <si>
    <t>Chorley 2  - N51</t>
  </si>
  <si>
    <t>Inactive Team(N03)</t>
  </si>
  <si>
    <t>IOM Staffordshire</t>
  </si>
  <si>
    <t>HUL Public Protection 7 - N55</t>
  </si>
  <si>
    <t>Leics County South West</t>
  </si>
  <si>
    <t>NFK-King's Lynn SM</t>
  </si>
  <si>
    <t>GM SM CP Bolton Wigan Salford</t>
  </si>
  <si>
    <t>SXW-CP Standalone</t>
  </si>
  <si>
    <t>BAR PQIP</t>
  </si>
  <si>
    <t>Newcastle 1</t>
  </si>
  <si>
    <t>CL Allocations Team - N51</t>
  </si>
  <si>
    <t>Merthyr - STS Team</t>
  </si>
  <si>
    <t>Kidderminster</t>
  </si>
  <si>
    <t>HUL Public Protection Unit 1</t>
  </si>
  <si>
    <t>Leicestershire Priority IOM - N53</t>
  </si>
  <si>
    <t>NFK-Norwich SM - N56</t>
  </si>
  <si>
    <t>GM SM CP Bury Rochdale Oldham Tameside</t>
  </si>
  <si>
    <t>SXW-Crawley</t>
  </si>
  <si>
    <t>BDH 1</t>
  </si>
  <si>
    <t>Newcastle 2</t>
  </si>
  <si>
    <t>Crewe 1</t>
  </si>
  <si>
    <t>Merthyr - Team 2</t>
  </si>
  <si>
    <t>Kidderminster PQiPs</t>
  </si>
  <si>
    <t>HUL Public Protection Unit 2</t>
  </si>
  <si>
    <t>Lincoln - N53</t>
  </si>
  <si>
    <t>GM SM CP Manchester Stockport Trafford</t>
  </si>
  <si>
    <t>SXW-Crawley 2 - N57</t>
  </si>
  <si>
    <t>BDH 2</t>
  </si>
  <si>
    <t>Newcastle 3</t>
  </si>
  <si>
    <t>Crewe 2 - N51</t>
  </si>
  <si>
    <t>Unallocated Team(N58)</t>
  </si>
  <si>
    <t>Merthyr - Team 3</t>
  </si>
  <si>
    <t>Leamington</t>
  </si>
  <si>
    <t>HUL Public Protection Unit 3</t>
  </si>
  <si>
    <t>Lincoln 2 - N53</t>
  </si>
  <si>
    <t>NFK-UPW SA</t>
  </si>
  <si>
    <t>GM ST Stockport 1 - N50</t>
  </si>
  <si>
    <t>SXW-Littlehampton</t>
  </si>
  <si>
    <t>BDH 3</t>
  </si>
  <si>
    <t>Newcastle 4</t>
  </si>
  <si>
    <t>Cumbria and Lancashire UPW Hub - N51</t>
  </si>
  <si>
    <t>Neath, PTalbot - Team 1</t>
  </si>
  <si>
    <t>Leamington 2 - N52</t>
  </si>
  <si>
    <t>Hull Community Integration Team</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</si>
  <si>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</si>
  <si>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</si>
  <si>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</si>
  <si>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</si>
  <si>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</si>
  <si>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</si>
  <si>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</si>
  <si>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</si>
  <si>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</si>
  <si>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</si>
  <si>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</si>
  <si>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</si>
  <si>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</si>
  <si>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</si>
  <si>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</si>
  <si>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</si>
  <si>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</si>
  <si>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</si>
  <si>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</si>
  <si>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</si>
  <si>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</si>
  <si>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</si>
  <si>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</si>
  <si>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</si>
  <si>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</si>
  <si>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</si>
  <si>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</si>
  <si>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</si>
  <si>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</si>
  <si>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</si>
  <si>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</si>
  <si>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</si>
  <si>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</si>
  <si>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</si>
  <si>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</si>
  <si>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</si>
  <si>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</si>
  <si>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</si>
  <si>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</si>
  <si>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</si>
  <si>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</si>
  <si>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</si>
  <si>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</si>
  <si>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</si>
  <si>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</si>
  <si>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</si>
  <si>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</si>
  <si>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</si>
  <si>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</si>
  <si>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</si>
  <si>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</si>
  <si>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SCU PPU1</t>
  </si>
  <si>
    <t>Nottingham City PQiP</t>
  </si>
  <si>
    <t>SFK-Ipswich SM</t>
  </si>
  <si>
    <t>GM Tameside 3 - N50</t>
  </si>
  <si>
    <t>BRE 1</t>
  </si>
  <si>
    <t>Redcar, Cleveland and Middlesbrough IOM</t>
  </si>
  <si>
    <t>Knowsley 1</t>
  </si>
  <si>
    <t>Pembrokeshire - Team 1</t>
  </si>
  <si>
    <t>SCU PPU2 - N55</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</si>
  <si>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</si>
  <si>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</si>
  <si>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</si>
  <si>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</si>
  <si>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</si>
  <si>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</si>
  <si>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</si>
  <si>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</si>
  <si>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</si>
  <si>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</si>
  <si>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</si>
  <si>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</si>
  <si>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</si>
  <si>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</si>
  <si>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</si>
  <si>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</si>
  <si>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</si>
  <si>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</si>
  <si>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</si>
  <si>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</si>
  <si>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</si>
  <si>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</si>
  <si>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</si>
  <si>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</si>
  <si>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</si>
  <si>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</si>
  <si>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</si>
  <si>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</si>
  <si>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</si>
  <si>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</si>
  <si>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</si>
  <si>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</si>
  <si>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</si>
  <si>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</si>
  <si>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</si>
  <si>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</si>
  <si>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</si>
  <si>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</si>
  <si>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</si>
  <si>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</si>
  <si>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</si>
  <si>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</si>
  <si>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</si>
  <si>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</si>
  <si>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</si>
  <si>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</si>
  <si>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</si>
  <si>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</si>
  <si>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</si>
  <si>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</si>
  <si>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</si>
  <si>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</si>
  <si>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</si>
  <si>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</si>
  <si>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</si>
  <si>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</si>
  <si>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UPW Bassetlaw - N53</t>
  </si>
  <si>
    <t>Bromley Service Centre - N07</t>
  </si>
  <si>
    <t>Liverpool North 10 - N51</t>
  </si>
  <si>
    <t>Swansea - Team 1</t>
  </si>
  <si>
    <t>Shrewsbury</t>
  </si>
  <si>
    <t>YSN Harrogate PP OMU</t>
  </si>
  <si>
    <t>UPW Buxton - N53</t>
  </si>
  <si>
    <t>CAI 1</t>
  </si>
  <si>
    <t>Liverpool North 2</t>
  </si>
  <si>
    <t>Swansea - Team 2</t>
  </si>
  <si>
    <t>Solihull A</t>
  </si>
  <si>
    <t>YSN Northallerton PP OMU</t>
  </si>
  <si>
    <t>UPW Chesterfield - N53</t>
  </si>
  <si>
    <t>CAI 2</t>
  </si>
  <si>
    <t>Liverpool North 3</t>
  </si>
  <si>
    <t>Swansea - Team 3</t>
  </si>
  <si>
    <t>Solihull B</t>
  </si>
  <si>
    <t>UPW Derby - N53</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</si>
  <si>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</si>
  <si>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</si>
  <si>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</si>
  <si>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</si>
  <si>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</si>
  <si>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</si>
  <si>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</si>
  <si>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</si>
  <si>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</si>
  <si>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</si>
  <si>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</si>
  <si>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</si>
  <si>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</si>
  <si>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</si>
  <si>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</si>
  <si>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</si>
  <si>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UPW Mansfield and Ashfield  - N53</t>
  </si>
  <si>
    <t>CP North East 1 - N07</t>
  </si>
  <si>
    <t>Unallocated Team(N03)</t>
  </si>
  <si>
    <t>South Birmingham PQiP</t>
  </si>
  <si>
    <t>UPW Newark and Sherwood  - N53</t>
  </si>
  <si>
    <t>CP North East 2 - N07</t>
  </si>
  <si>
    <t>Liverpool North Unallocated</t>
  </si>
  <si>
    <t>Vale - IOM Women Team</t>
  </si>
  <si>
    <t>Stafford - N52</t>
  </si>
  <si>
    <t>UPW Nottingham - N53</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</si>
  <si>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</si>
  <si>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</si>
  <si>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</si>
  <si>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</si>
  <si>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</si>
  <si>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</si>
  <si>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</si>
  <si>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</si>
  <si>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</si>
  <si>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</si>
  <si>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</si>
  <si>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</si>
  <si>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</si>
  <si>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</si>
  <si>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</si>
  <si>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</si>
  <si>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</si>
  <si>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</si>
  <si>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</si>
  <si>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</si>
  <si>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</si>
  <si>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</si>
  <si>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</si>
  <si>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</si>
  <si>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YSS Doncaster OMU 1</t>
  </si>
  <si>
    <t>CP South Legacy Caseload - N07</t>
  </si>
  <si>
    <t>Liverpool South 7 - N51</t>
  </si>
  <si>
    <t>Stoke Team 3 - N52</t>
  </si>
  <si>
    <t>YSS Doncaster OMU 2</t>
  </si>
  <si>
    <t>CP West 1 - N07</t>
  </si>
  <si>
    <t>Liverpool South IOM</t>
  </si>
  <si>
    <t>Stoke Team 4 - N52</t>
  </si>
  <si>
    <t>YSS Doncaster OMU 3</t>
  </si>
  <si>
    <t>CP West 2 - N07</t>
  </si>
  <si>
    <t>Liverpool South Unallocated</t>
  </si>
  <si>
    <t>West Berkshire Business Support Unit</t>
  </si>
  <si>
    <t>Tamworth - N52</t>
  </si>
  <si>
    <t>YSS Doncaster OMU 4 - N55</t>
  </si>
  <si>
    <t>CRO 1</t>
  </si>
  <si>
    <t>Macclesfield 1</t>
  </si>
  <si>
    <t>Telford - N52</t>
  </si>
  <si>
    <t>YSS Doncaster OMU 5 - N55</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</si>
  <si>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</si>
  <si>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</si>
  <si>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</si>
  <si>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</si>
  <si>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</si>
  <si>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</si>
  <si>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</si>
  <si>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</si>
  <si>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</si>
  <si>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</si>
  <si>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</si>
  <si>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</si>
  <si>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</si>
  <si>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</si>
  <si>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</si>
  <si>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</si>
  <si>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</si>
  <si>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</si>
  <si>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</si>
  <si>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</si>
  <si>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</si>
  <si>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</si>
  <si>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</si>
  <si>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</si>
  <si>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</si>
  <si>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</si>
  <si>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</si>
  <si>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</si>
  <si>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</si>
  <si>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</si>
  <si>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</si>
  <si>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</si>
  <si>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</si>
  <si>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</si>
  <si>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</si>
  <si>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</si>
  <si>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</si>
  <si>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</si>
  <si>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</si>
  <si>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</si>
  <si>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</si>
  <si>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</si>
  <si>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</si>
  <si>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</si>
  <si>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</si>
  <si>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</si>
  <si>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</si>
  <si>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</si>
  <si>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</si>
  <si>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</si>
  <si>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</si>
  <si>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</si>
  <si>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</si>
  <si>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</si>
  <si>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</si>
  <si>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</si>
  <si>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</si>
  <si>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</si>
  <si>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</si>
  <si>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</si>
  <si>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</si>
  <si>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</si>
  <si>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</si>
  <si>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</si>
  <si>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</si>
  <si>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</si>
  <si>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</si>
  <si>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</si>
  <si>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</si>
  <si>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</si>
  <si>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</si>
  <si>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</si>
  <si>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</si>
  <si>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</si>
  <si>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</si>
  <si>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</si>
  <si>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</si>
  <si>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</si>
  <si>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</si>
  <si>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</si>
  <si>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</si>
  <si>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</si>
  <si>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</si>
  <si>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</si>
  <si>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</si>
  <si>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</si>
  <si>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</si>
  <si>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</si>
  <si>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</si>
  <si>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</si>
  <si>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</si>
  <si>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</si>
  <si>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</si>
  <si>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</si>
  <si>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</si>
  <si>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</si>
  <si>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</si>
  <si>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</si>
  <si>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</si>
  <si>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</si>
  <si>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</si>
  <si>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</si>
  <si>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</si>
  <si>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</si>
  <si>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</si>
  <si>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</si>
  <si>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</si>
  <si>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</si>
  <si>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</si>
  <si>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</si>
  <si>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</si>
  <si>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</si>
  <si>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</si>
  <si>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</si>
  <si>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</si>
  <si>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</si>
  <si>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</si>
  <si>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</si>
  <si>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</si>
  <si>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</si>
  <si>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</si>
  <si>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</si>
  <si>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</si>
  <si>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</si>
  <si>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</si>
  <si>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</si>
  <si>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</si>
  <si>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</si>
  <si>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</si>
  <si>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</si>
  <si>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</si>
  <si>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</si>
  <si>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</si>
  <si>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</si>
  <si>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</si>
  <si>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</si>
  <si>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</si>
  <si>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</si>
  <si>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</si>
  <si>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</si>
  <si>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</si>
  <si>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</si>
  <si>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</si>
  <si>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</si>
  <si>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</si>
  <si>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</si>
  <si>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</si>
  <si>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</si>
  <si>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</si>
  <si>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</si>
  <si>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</si>
  <si>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</si>
  <si>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</si>
  <si>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</si>
  <si>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</si>
  <si>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</si>
  <si>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</si>
  <si>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</si>
  <si>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</si>
  <si>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</si>
  <si>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</si>
  <si>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</si>
  <si>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</si>
  <si>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</si>
  <si>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</si>
  <si>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</si>
  <si>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</si>
  <si>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</si>
  <si>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</si>
  <si>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</si>
  <si>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</si>
  <si>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</si>
  <si>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</si>
  <si>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</si>
  <si>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</si>
  <si>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</si>
  <si>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</si>
  <si>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</si>
  <si>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</si>
  <si>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</si>
  <si>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</si>
  <si>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</si>
  <si>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</si>
  <si>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</si>
  <si>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</si>
  <si>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</si>
  <si>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</si>
  <si>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</si>
  <si>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</si>
  <si>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</si>
  <si>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</si>
  <si>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</si>
  <si>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</si>
  <si>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</si>
  <si>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</si>
  <si>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</si>
  <si>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</si>
  <si>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</si>
  <si>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</si>
  <si>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</si>
  <si>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</si>
  <si>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</si>
  <si>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</si>
  <si>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</si>
  <si>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</si>
  <si>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</si>
  <si>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</si>
  <si>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</si>
  <si>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</si>
  <si>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</si>
  <si>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</si>
  <si>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</si>
  <si>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</si>
  <si>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</si>
  <si>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</si>
  <si>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</si>
  <si>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</si>
  <si>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</si>
  <si>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</si>
  <si>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</si>
  <si>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</si>
  <si>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</si>
  <si>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</si>
  <si>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</si>
  <si>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</si>
  <si>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</si>
  <si>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</si>
  <si>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</si>
  <si>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</si>
  <si>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</si>
  <si>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</si>
  <si>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</si>
  <si>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</si>
  <si>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</si>
  <si>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</si>
  <si>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</si>
  <si>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</si>
  <si>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</si>
  <si>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</si>
  <si>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</si>
  <si>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</si>
  <si>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</si>
  <si>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PQiP15 0-6</t>
  </si>
  <si>
    <t>PQiP21 0-6</t>
  </si>
  <si>
    <t>PQiP15 12-15</t>
  </si>
  <si>
    <t>PQiP21 6-18</t>
  </si>
  <si>
    <t>PQiP15 6-12</t>
  </si>
  <si>
    <t xml:space="preserve">PQiP21 18-21 </t>
  </si>
  <si>
    <t>PQiP21 18-21</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</si>
  <si>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</si>
  <si>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</si>
  <si>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</si>
  <si>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</si>
  <si>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</si>
  <si>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</si>
  <si>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</si>
  <si>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</si>
  <si>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</si>
  <si>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</si>
  <si>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</si>
  <si>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</si>
  <si>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</si>
  <si>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</si>
  <si>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</si>
  <si>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</si>
  <si>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</si>
  <si>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</si>
  <si>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</si>
  <si>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</si>
  <si>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</si>
  <si>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</si>
  <si>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</si>
  <si>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</si>
  <si>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</si>
  <si>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</si>
  <si>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</si>
  <si>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</si>
  <si>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</si>
  <si>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</si>
  <si>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</si>
  <si>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</si>
  <si>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</si>
  <si>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</si>
  <si>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</si>
  <si>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</si>
  <si>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</si>
  <si>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</si>
  <si>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</si>
  <si>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</si>
  <si>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</si>
  <si>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</si>
  <si>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</si>
  <si>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</si>
  <si>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</si>
  <si>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</si>
  <si>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</si>
  <si>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</si>
  <si>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</si>
  <si>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</si>
  <si>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</si>
  <si>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</si>
  <si>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</si>
  <si>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</si>
  <si>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</si>
  <si>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</si>
  <si>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</si>
  <si>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</si>
  <si>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</si>
  <si>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</si>
  <si>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</si>
  <si>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</si>
  <si>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</si>
  <si>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</si>
  <si>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</si>
  <si>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</si>
  <si>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</si>
  <si>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</si>
  <si>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</si>
  <si>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</si>
  <si>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</si>
  <si>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</si>
  <si>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</si>
  <si>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</si>
  <si>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</si>
  <si>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</si>
  <si>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</si>
  <si>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</si>
  <si>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</si>
  <si>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</si>
  <si>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</si>
  <si>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</si>
  <si>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</si>
  <si>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</si>
  <si>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</si>
  <si>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</si>
  <si>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</si>
  <si>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</si>
  <si>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</si>
  <si>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</si>
  <si>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</si>
  <si>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</si>
  <si>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</si>
  <si>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</si>
  <si>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</si>
  <si>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</si>
  <si>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</si>
  <si>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</si>
  <si>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</si>
  <si>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</si>
  <si>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</si>
  <si>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</si>
  <si>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</si>
  <si>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</si>
  <si>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</si>
  <si>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</si>
  <si>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</si>
  <si>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</si>
  <si>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</si>
  <si>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</si>
  <si>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</si>
  <si>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</si>
  <si>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</si>
  <si>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</si>
  <si>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</si>
  <si>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</si>
  <si>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</si>
  <si>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</si>
  <si>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</si>
  <si>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</si>
  <si>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</si>
  <si>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</si>
  <si>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overall allocation of cases by grade</t>
  </si>
  <si>
    <t>overall allocation of community cases by grade</t>
  </si>
  <si>
    <t>overall allocation of licence cases by grade</t>
  </si>
  <si>
    <t>overall allocation of custody cases by grade</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</si>
  <si>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</si>
  <si>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</si>
  <si>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</si>
  <si>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</si>
  <si>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</si>
  <si>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</si>
  <si>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</si>
  <si>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</si>
  <si>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</si>
  <si>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</si>
  <si>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</si>
  <si>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</si>
  <si>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</si>
  <si>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</si>
  <si>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</si>
  <si>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</si>
  <si>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</si>
  <si>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</si>
  <si>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</si>
  <si>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</si>
  <si>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</si>
  <si>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</si>
  <si>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</si>
  <si>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t>cluster allocation of community cases by grade as percentage</t>
  </si>
  <si>
    <t>cluster allocation of licence cases by grade as percentage</t>
  </si>
  <si>
    <t>C$luster alloC$ation of C$ustody C$ases by grade as perC$entage</t>
  </si>
  <si>
    <t xml:space="preserve"> C$luster overall alloC$ation of C$ases by grade as perC$entage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</si>
  <si>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</si>
  <si>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</si>
  <si>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</si>
  <si>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</si>
  <si>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</si>
  <si>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</si>
  <si>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</si>
  <si>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</si>
  <si>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</si>
  <si>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</si>
  <si>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</si>
  <si>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</si>
  <si>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</si>
  <si>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</si>
  <si>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r>
      <t>Total (</t>
    </r>
    <r>
      <rPr>
        <b/>
        <sz val="10"/>
        <color rgb="FFFF0000"/>
        <rFont val="Arial"/>
        <family val="2"/>
      </rPr>
      <t>including unallocated cases</t>
    </r>
    <r>
      <rPr>
        <b/>
        <sz val="10"/>
        <color theme="1"/>
        <rFont val="Arial"/>
        <family val="2"/>
      </rPr>
      <t>)</t>
    </r>
  </si>
  <si>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</si>
  <si>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</si>
  <si>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</si>
  <si>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</si>
  <si>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</si>
  <si>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</si>
  <si>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</si>
  <si>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</si>
  <si>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</si>
  <si>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</si>
  <si>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</si>
  <si>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</si>
  <si>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</si>
  <si>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</si>
  <si>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</si>
  <si>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</si>
  <si>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</si>
  <si>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</si>
  <si>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</si>
  <si>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</si>
  <si>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</si>
  <si>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</si>
  <si>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</si>
  <si>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</si>
  <si>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</si>
  <si>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</si>
  <si>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</si>
  <si>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</si>
  <si>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</si>
  <si>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</si>
  <si>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</si>
  <si>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</si>
  <si>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</si>
  <si>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</si>
  <si>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</si>
  <si>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</si>
  <si>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</si>
  <si>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</si>
  <si>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</si>
  <si>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</si>
  <si>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</si>
  <si>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</si>
  <si>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</si>
  <si>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</si>
  <si>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</si>
  <si>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</si>
  <si>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</si>
  <si>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</si>
  <si>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</si>
  <si>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</si>
  <si>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</si>
  <si>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</si>
  <si>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</si>
  <si>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</si>
  <si>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</si>
  <si>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</si>
  <si>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</si>
  <si>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</si>
  <si>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</si>
  <si>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</si>
  <si>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</si>
  <si>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</si>
  <si>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</si>
  <si>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</si>
  <si>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</si>
  <si>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</si>
  <si>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</si>
  <si>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</si>
  <si>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</si>
  <si>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</si>
  <si>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</si>
  <si>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</si>
  <si>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</si>
  <si>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</si>
  <si>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</si>
  <si>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</si>
  <si>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</si>
  <si>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</si>
  <si>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</si>
  <si>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</si>
  <si>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</si>
  <si>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</si>
  <si>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</si>
  <si>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</si>
  <si>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</si>
  <si>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</si>
  <si>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</si>
  <si>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</si>
  <si>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</si>
  <si>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</si>
  <si>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</si>
  <si>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</si>
  <si>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</si>
  <si>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</si>
  <si>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</si>
  <si>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</si>
  <si>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</si>
  <si>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</si>
  <si>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</si>
  <si>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</si>
  <si>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</si>
  <si>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</si>
  <si>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</si>
  <si>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</si>
  <si>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</si>
  <si>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</si>
  <si>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</si>
  <si>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</si>
  <si>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</si>
  <si>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</si>
  <si>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</si>
  <si>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</si>
  <si>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</si>
  <si>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</si>
  <si>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</si>
  <si>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</si>
  <si>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</si>
  <si>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</si>
  <si>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</si>
  <si>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</si>
  <si>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</si>
  <si>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</si>
  <si>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</si>
  <si>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</si>
  <si>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</si>
  <si>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</si>
  <si>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</si>
  <si>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</si>
  <si>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</si>
  <si>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</si>
  <si>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</si>
  <si>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</si>
  <si>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</si>
  <si>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</si>
  <si>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</si>
  <si>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</si>
  <si>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</si>
  <si>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</si>
  <si>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</si>
  <si>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</si>
  <si>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</si>
  <si>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</si>
  <si>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</si>
  <si>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</si>
  <si>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</si>
  <si>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</si>
  <si>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</si>
  <si>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</si>
  <si>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</si>
  <si>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</si>
  <si>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</si>
  <si>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</si>
  <si>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</si>
  <si>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</si>
  <si>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</si>
  <si>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</si>
  <si>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</si>
  <si>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</si>
  <si>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</si>
  <si>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</si>
  <si>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</si>
  <si>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</si>
  <si>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</si>
  <si>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</si>
  <si>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</si>
  <si>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</si>
  <si>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</si>
  <si>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</si>
  <si>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</si>
  <si>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</si>
  <si>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</si>
  <si>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</si>
  <si>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</si>
  <si>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</si>
  <si>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</si>
  <si>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</si>
  <si>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</si>
  <si>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</si>
  <si>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</si>
  <si>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</si>
  <si>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</si>
  <si>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</si>
  <si>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</si>
  <si>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PQiP21 7-18</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</si>
  <si>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</si>
  <si>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</si>
  <si>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</si>
  <si>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</si>
  <si>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</si>
  <si>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</si>
  <si>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</si>
  <si>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</si>
  <si>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</si>
  <si>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</si>
  <si>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</si>
  <si>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</si>
  <si>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</si>
  <si>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</si>
  <si>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</si>
  <si>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</si>
  <si>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</si>
  <si>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</si>
  <si>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</si>
  <si>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</si>
  <si>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</si>
  <si>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</si>
  <si>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</si>
  <si>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</si>
  <si>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</si>
  <si>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</si>
  <si>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</si>
  <si>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</si>
  <si>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</si>
  <si>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</si>
  <si>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</si>
  <si>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</si>
  <si>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</si>
  <si>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</si>
  <si>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</si>
  <si>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</si>
  <si>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</si>
  <si>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</si>
  <si>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</si>
  <si>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</si>
  <si>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</si>
  <si>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</si>
  <si>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</si>
  <si>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</si>
  <si>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</si>
  <si>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</si>
  <si>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</si>
  <si>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</si>
  <si>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</si>
  <si>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</si>
  <si>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</si>
  <si>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</si>
  <si>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</si>
  <si>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</si>
  <si>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</si>
  <si>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</si>
  <si>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</si>
  <si>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</si>
  <si>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</si>
  <si>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</si>
  <si>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</si>
  <si>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</si>
  <si>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</si>
  <si>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</si>
  <si>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</si>
  <si>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</si>
  <si>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</si>
  <si>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</si>
  <si>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</si>
  <si>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</si>
  <si>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</si>
  <si>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</si>
  <si>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</si>
  <si>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</si>
  <si>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</si>
  <si>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</si>
  <si>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</si>
  <si>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</si>
  <si>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</si>
  <si>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</si>
  <si>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</si>
  <si>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</si>
  <si>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</si>
  <si>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</si>
  <si>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</si>
  <si>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Awaiting Allocation North and N East Lincs</t>
  </si>
  <si>
    <t>Unallocated Team(N55)</t>
  </si>
  <si>
    <t>Accredited Programmes and Structured Interventions</t>
  </si>
  <si>
    <t>Public Protection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</si>
</sst>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5"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6"/>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6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
      <patternFill patternType="solid">
        <fgColor rgb="FFFFFF00"/>
        <bgColor rgb="FFFFFFFF"/>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rgb="FFCAC9D9"/>
      </left>
      <right style="thin">
        <color rgb="FFCAC9D9"/>
      </right>
      <top style="thin">
        <color rgb="FFCAC9D9"/>
      </top>
      <bottom style="thin">
        <color rgb="FFCAC9D9"/>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19" fillId="0" borderId="0"/>
    <xf numFmtId="0" fontId="23" fillId="0" borderId="0" applyNumberFormat="0" applyFill="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39" applyNumberFormat="0" applyAlignment="0" applyProtection="0"/>
    <xf numFmtId="0" fontId="31" fillId="18" borderId="40" applyNumberFormat="0" applyAlignment="0" applyProtection="0"/>
    <xf numFmtId="0" fontId="32" fillId="18" borderId="39" applyNumberFormat="0" applyAlignment="0" applyProtection="0"/>
    <xf numFmtId="0" fontId="33" fillId="0" borderId="41" applyNumberFormat="0" applyFill="0" applyAlignment="0" applyProtection="0"/>
    <xf numFmtId="0" fontId="34" fillId="19" borderId="42" applyNumberFormat="0" applyAlignment="0" applyProtection="0"/>
    <xf numFmtId="0" fontId="35" fillId="0" borderId="0" applyNumberFormat="0" applyFill="0" applyBorder="0" applyAlignment="0" applyProtection="0"/>
    <xf numFmtId="0" fontId="19" fillId="20" borderId="43" applyNumberFormat="0" applyFont="0" applyAlignment="0" applyProtection="0"/>
    <xf numFmtId="0" fontId="36" fillId="0" borderId="0" applyNumberFormat="0" applyFill="0" applyBorder="0" applyAlignment="0" applyProtection="0"/>
    <xf numFmtId="0" fontId="37" fillId="0" borderId="44" applyNumberFormat="0" applyFill="0" applyAlignment="0" applyProtection="0"/>
    <xf numFmtId="0" fontId="38"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38"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38"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38"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38"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38" fillId="41"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39" fillId="0" borderId="0" applyNumberFormat="0" applyFill="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8" fillId="15" borderId="0" applyNumberFormat="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62" fillId="0" borderId="0"/>
    <xf numFmtId="0" fontId="63" fillId="14" borderId="0" applyNumberFormat="0" applyBorder="0" applyAlignment="0" applyProtection="0"/>
    <xf numFmtId="0" fontId="64" fillId="15" borderId="0" applyNumberFormat="0" applyBorder="0" applyAlignment="0" applyProtection="0"/>
    <xf numFmtId="0" fontId="65" fillId="16" borderId="0" applyNumberFormat="0" applyBorder="0" applyAlignment="0" applyProtection="0"/>
    <xf numFmtId="0" fontId="66" fillId="17" borderId="39" applyNumberFormat="0" applyAlignment="0" applyProtection="0"/>
    <xf numFmtId="0" fontId="67" fillId="18" borderId="40" applyNumberFormat="0" applyAlignment="0" applyProtection="0"/>
    <xf numFmtId="0" fontId="68" fillId="18" borderId="39" applyNumberFormat="0" applyAlignment="0" applyProtection="0"/>
    <xf numFmtId="0" fontId="69" fillId="0" borderId="41" applyNumberFormat="0" applyFill="0" applyAlignment="0" applyProtection="0"/>
    <xf numFmtId="0" fontId="70" fillId="19" borderId="42" applyNumberFormat="0" applyAlignment="0" applyProtection="0"/>
    <xf numFmtId="0" fontId="71" fillId="0" borderId="0" applyNumberFormat="0" applyFill="0" applyBorder="0" applyAlignment="0" applyProtection="0"/>
    <xf numFmtId="0" fontId="62" fillId="20" borderId="43" applyNumberFormat="0" applyFont="0" applyAlignment="0" applyProtection="0"/>
    <xf numFmtId="0" fontId="72" fillId="0" borderId="0" applyNumberFormat="0" applyFill="0" applyBorder="0" applyAlignment="0" applyProtection="0"/>
    <xf numFmtId="0" fontId="73" fillId="0" borderId="44" applyNumberFormat="0" applyFill="0" applyAlignment="0" applyProtection="0"/>
    <xf numFmtId="0" fontId="74" fillId="21" borderId="0" applyNumberFormat="0" applyBorder="0" applyAlignment="0" applyProtection="0"/>
    <xf numFmtId="0" fontId="62"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74" fillId="25" borderId="0" applyNumberFormat="0" applyBorder="0" applyAlignment="0" applyProtection="0"/>
    <xf numFmtId="0" fontId="62"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74" fillId="29" borderId="0" applyNumberFormat="0" applyBorder="0" applyAlignment="0" applyProtection="0"/>
    <xf numFmtId="0" fontId="62"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74" fillId="33" borderId="0" applyNumberFormat="0" applyBorder="0" applyAlignment="0" applyProtection="0"/>
    <xf numFmtId="0" fontId="62"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74" fillId="37" borderId="0" applyNumberFormat="0" applyBorder="0" applyAlignment="0" applyProtection="0"/>
    <xf numFmtId="0" fontId="62" fillId="38" borderId="0" applyNumberFormat="0" applyBorder="0" applyAlignment="0" applyProtection="0"/>
    <xf numFmtId="0" fontId="62" fillId="39" borderId="0" applyNumberFormat="0" applyBorder="0" applyAlignment="0" applyProtection="0"/>
    <xf numFmtId="0" fontId="62" fillId="40" borderId="0" applyNumberFormat="0" applyBorder="0" applyAlignment="0" applyProtection="0"/>
    <xf numFmtId="0" fontId="74" fillId="41" borderId="0" applyNumberFormat="0" applyBorder="0" applyAlignment="0" applyProtection="0"/>
    <xf numFmtId="0" fontId="62" fillId="42" borderId="0" applyNumberFormat="0" applyBorder="0" applyAlignment="0" applyProtection="0"/>
    <xf numFmtId="0" fontId="62" fillId="43" borderId="0" applyNumberFormat="0" applyBorder="0" applyAlignment="0" applyProtection="0"/>
    <xf numFmtId="0" fontId="6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609">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0"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1" fillId="0" borderId="0" xfId="0" applyFont="1" applyAlignment="1">
      <alignment vertical="center" wrapText="1"/>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8" fillId="10" borderId="2" xfId="0" applyFont="1" applyFill="1" applyBorder="1" applyAlignment="1">
      <alignment horizontal="center" vertical="center"/>
    </xf>
    <xf numFmtId="0" fontId="9" fillId="0" borderId="0" xfId="0" applyFont="1" applyAlignment="1">
      <alignment horizontal="center"/>
    </xf>
    <xf numFmtId="0" fontId="45" fillId="0" borderId="0" xfId="0" applyFont="1" applyAlignment="1">
      <alignment horizontal="center" vertical="center" wrapText="1"/>
    </xf>
    <xf numFmtId="0" fontId="0" fillId="0" borderId="1" xfId="0" applyBorder="1" applyAlignment="1">
      <alignment horizontal="center"/>
    </xf>
    <xf numFmtId="0" fontId="40"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1" fillId="10" borderId="1" xfId="0" applyFont="1" applyFill="1" applyBorder="1" applyAlignment="1">
      <alignment horizontal="center"/>
    </xf>
    <xf numFmtId="10" fontId="0" fillId="0" borderId="0" xfId="0" applyNumberFormat="1"/>
    <xf numFmtId="0" fontId="46" fillId="2" borderId="0" xfId="0" applyFont="1" applyFill="1" applyAlignment="1">
      <alignment horizontal="center"/>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47" fillId="0" borderId="0" xfId="0" applyFont="1"/>
    <xf numFmtId="166" fontId="4" fillId="46"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0" fillId="48" borderId="1" xfId="0" applyFont="1" applyFill="1" applyBorder="1" applyAlignment="1">
      <alignment horizontal="center" vertical="center"/>
    </xf>
    <xf numFmtId="0" fontId="0" fillId="0" borderId="0" xfId="0" applyProtection="1">
      <protection locked="0"/>
    </xf>
    <xf numFmtId="0" fontId="40" fillId="3" borderId="1" xfId="0" applyFont="1" applyFill="1" applyBorder="1" applyAlignment="1" applyProtection="1">
      <alignment horizontal="center" vertical="center" wrapText="1"/>
      <protection locked="0"/>
    </xf>
    <xf numFmtId="0" fontId="40" fillId="13" borderId="1"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49" fillId="0" borderId="0" xfId="0" applyFont="1"/>
    <xf numFmtId="0" fontId="50" fillId="0" borderId="0" xfId="0" applyFont="1"/>
    <xf numFmtId="166" fontId="48" fillId="46" borderId="0" xfId="0" applyNumberFormat="1" applyFont="1" applyFill="1" applyAlignment="1">
      <alignment horizontal="left" vertical="center" indent="14"/>
    </xf>
    <xf numFmtId="0" fontId="22" fillId="0" borderId="1" xfId="0" applyFont="1" applyBorder="1"/>
    <xf numFmtId="0" fontId="41" fillId="10" borderId="1" xfId="0" quotePrefix="1" applyFont="1" applyFill="1" applyBorder="1" applyAlignment="1">
      <alignment horizontal="center" vertical="center" wrapText="1"/>
    </xf>
    <xf numFmtId="0" fontId="52" fillId="0" borderId="0" xfId="0" applyFont="1"/>
    <xf numFmtId="0" fontId="22" fillId="6" borderId="1" xfId="0" applyFont="1" applyFill="1" applyBorder="1"/>
    <xf numFmtId="10" fontId="22" fillId="0" borderId="1" xfId="0" applyNumberFormat="1" applyFont="1" applyBorder="1" applyAlignment="1">
      <alignment horizontal="center"/>
    </xf>
    <xf numFmtId="9" fontId="22" fillId="0" borderId="1" xfId="0" applyNumberFormat="1" applyFont="1" applyBorder="1" applyAlignment="1">
      <alignment horizontal="center"/>
    </xf>
    <xf numFmtId="0" fontId="22" fillId="12" borderId="18" xfId="0" quotePrefix="1" applyFont="1" applyFill="1" applyBorder="1" applyAlignment="1">
      <alignment horizontal="left" vertical="center" wrapText="1"/>
    </xf>
    <xf numFmtId="0" fontId="52" fillId="0" borderId="1" xfId="0" applyFont="1" applyBorder="1"/>
    <xf numFmtId="0" fontId="53" fillId="10" borderId="17" xfId="0" applyFont="1" applyFill="1" applyBorder="1" applyAlignment="1">
      <alignment horizontal="center" vertical="center" wrapText="1"/>
    </xf>
    <xf numFmtId="0" fontId="53" fillId="10" borderId="22" xfId="0" applyFont="1" applyFill="1" applyBorder="1" applyAlignment="1">
      <alignment horizontal="center" vertical="center" wrapText="1"/>
    </xf>
    <xf numFmtId="0" fontId="22" fillId="2" borderId="1" xfId="0" applyFont="1" applyFill="1" applyBorder="1" applyAlignment="1">
      <alignment horizontal="left" vertical="center" wrapText="1"/>
    </xf>
    <xf numFmtId="9" fontId="22" fillId="0" borderId="0" xfId="0" applyNumberFormat="1" applyFont="1" applyAlignment="1">
      <alignment horizontal="center" vertical="center"/>
    </xf>
    <xf numFmtId="9" fontId="22" fillId="2" borderId="1" xfId="0" applyNumberFormat="1" applyFont="1" applyFill="1" applyBorder="1" applyAlignment="1">
      <alignment horizontal="center" vertical="center" wrapText="1"/>
    </xf>
    <xf numFmtId="0" fontId="22" fillId="0" borderId="1" xfId="0" applyFont="1" applyBorder="1" applyAlignment="1">
      <alignment horizontal="center"/>
    </xf>
    <xf numFmtId="0" fontId="41" fillId="10" borderId="1" xfId="0" applyFont="1" applyFill="1" applyBorder="1" applyAlignment="1">
      <alignment horizontal="center" vertical="center"/>
    </xf>
    <xf numFmtId="1" fontId="22" fillId="0" borderId="1" xfId="1" applyNumberFormat="1" applyFont="1" applyBorder="1" applyAlignment="1">
      <alignment horizontal="center"/>
    </xf>
    <xf numFmtId="0" fontId="22" fillId="0" borderId="1" xfId="0" applyFont="1" applyBorder="1" applyAlignment="1">
      <alignment horizontal="center" vertical="center"/>
    </xf>
    <xf numFmtId="0" fontId="22" fillId="7" borderId="1" xfId="0" quotePrefix="1" applyFont="1" applyFill="1" applyBorder="1" applyAlignment="1">
      <alignment horizontal="left"/>
    </xf>
    <xf numFmtId="0" fontId="22" fillId="7" borderId="1" xfId="0" applyFont="1" applyFill="1" applyBorder="1" applyAlignment="1">
      <alignment horizontal="center"/>
    </xf>
    <xf numFmtId="1" fontId="22" fillId="7" borderId="1" xfId="0" applyNumberFormat="1" applyFont="1" applyFill="1" applyBorder="1" applyAlignment="1">
      <alignment horizontal="center"/>
    </xf>
    <xf numFmtId="10" fontId="22" fillId="7" borderId="1" xfId="0" applyNumberFormat="1" applyFont="1" applyFill="1" applyBorder="1" applyAlignment="1">
      <alignment horizontal="center"/>
    </xf>
    <xf numFmtId="0" fontId="22" fillId="12" borderId="1" xfId="0" quotePrefix="1" applyFont="1" applyFill="1" applyBorder="1" applyAlignment="1">
      <alignment horizontal="left" vertical="center" wrapText="1"/>
    </xf>
    <xf numFmtId="0" fontId="52" fillId="10" borderId="1" xfId="0" applyFont="1" applyFill="1" applyBorder="1"/>
    <xf numFmtId="1" fontId="22" fillId="0" borderId="1" xfId="0" applyNumberFormat="1" applyFont="1" applyBorder="1" applyAlignment="1">
      <alignment horizontal="center" vertical="top" wrapText="1"/>
    </xf>
    <xf numFmtId="0" fontId="22" fillId="0" borderId="1" xfId="0" applyFont="1" applyBorder="1" applyAlignment="1">
      <alignment horizontal="center" vertical="top" wrapText="1"/>
    </xf>
    <xf numFmtId="10" fontId="22" fillId="0" borderId="1" xfId="0" applyNumberFormat="1" applyFont="1" applyBorder="1" applyAlignment="1">
      <alignment horizontal="center" vertical="top" wrapText="1"/>
    </xf>
    <xf numFmtId="164" fontId="22" fillId="0" borderId="1" xfId="0" applyNumberFormat="1" applyFont="1" applyBorder="1" applyAlignment="1">
      <alignment horizontal="center" vertical="top" wrapText="1"/>
    </xf>
    <xf numFmtId="0" fontId="22" fillId="0" borderId="20" xfId="0" applyFont="1" applyBorder="1" applyAlignment="1">
      <alignment horizontal="center" vertical="center"/>
    </xf>
    <xf numFmtId="0" fontId="22" fillId="2" borderId="18" xfId="0" applyFont="1" applyFill="1" applyBorder="1" applyAlignment="1">
      <alignment horizontal="center" vertical="center"/>
    </xf>
    <xf numFmtId="0" fontId="22" fillId="0" borderId="0" xfId="0" applyFont="1"/>
    <xf numFmtId="10" fontId="22" fillId="2" borderId="1" xfId="0" applyNumberFormat="1" applyFont="1" applyFill="1" applyBorder="1" applyAlignment="1">
      <alignment horizontal="center" vertical="center"/>
    </xf>
    <xf numFmtId="0" fontId="56" fillId="48" borderId="1" xfId="0" applyFont="1" applyFill="1" applyBorder="1" applyAlignment="1">
      <alignment horizontal="center"/>
    </xf>
    <xf numFmtId="1" fontId="22" fillId="0" borderId="1" xfId="0" applyNumberFormat="1" applyFont="1" applyBorder="1" applyAlignment="1">
      <alignment horizontal="center"/>
    </xf>
    <xf numFmtId="0" fontId="41" fillId="10" borderId="17" xfId="0" applyFont="1" applyFill="1" applyBorder="1" applyAlignment="1">
      <alignment horizontal="center"/>
    </xf>
    <xf numFmtId="0" fontId="22" fillId="0" borderId="22" xfId="0" applyFont="1" applyBorder="1" applyAlignment="1">
      <alignment horizontal="center"/>
    </xf>
    <xf numFmtId="0" fontId="22" fillId="0" borderId="56" xfId="0" applyFont="1" applyBorder="1" applyAlignment="1">
      <alignment horizontal="center"/>
    </xf>
    <xf numFmtId="0" fontId="22" fillId="0" borderId="20" xfId="0" applyFont="1" applyBorder="1" applyAlignment="1">
      <alignment horizontal="center"/>
    </xf>
    <xf numFmtId="10" fontId="22" fillId="50" borderId="1" xfId="0" applyNumberFormat="1" applyFont="1" applyFill="1" applyBorder="1" applyAlignment="1">
      <alignment horizontal="center"/>
    </xf>
    <xf numFmtId="0" fontId="22" fillId="50" borderId="1" xfId="0" applyFont="1" applyFill="1" applyBorder="1" applyAlignment="1">
      <alignment horizontal="center"/>
    </xf>
    <xf numFmtId="9" fontId="22" fillId="50" borderId="1" xfId="0" applyNumberFormat="1" applyFont="1" applyFill="1" applyBorder="1" applyAlignment="1">
      <alignment horizontal="center"/>
    </xf>
    <xf numFmtId="9" fontId="22" fillId="50" borderId="1" xfId="0" applyNumberFormat="1" applyFont="1" applyFill="1" applyBorder="1" applyAlignment="1">
      <alignment horizontal="center" vertical="center"/>
    </xf>
    <xf numFmtId="9" fontId="22" fillId="50" borderId="18" xfId="0" applyNumberFormat="1" applyFont="1" applyFill="1" applyBorder="1" applyAlignment="1">
      <alignment horizontal="center" vertical="center"/>
    </xf>
    <xf numFmtId="165" fontId="22" fillId="50" borderId="1" xfId="1" applyNumberFormat="1" applyFont="1" applyFill="1" applyBorder="1" applyAlignment="1">
      <alignment horizontal="center"/>
    </xf>
    <xf numFmtId="0" fontId="22" fillId="50" borderId="1" xfId="0" applyFont="1" applyFill="1" applyBorder="1"/>
    <xf numFmtId="0" fontId="22" fillId="7" borderId="1" xfId="0" applyFont="1" applyFill="1" applyBorder="1"/>
    <xf numFmtId="9" fontId="22" fillId="7" borderId="1" xfId="0" applyNumberFormat="1" applyFont="1" applyFill="1" applyBorder="1" applyAlignment="1">
      <alignment horizontal="center"/>
    </xf>
    <xf numFmtId="1" fontId="22" fillId="7" borderId="1" xfId="0" applyNumberFormat="1" applyFont="1" applyFill="1" applyBorder="1" applyAlignment="1">
      <alignment horizontal="center" vertical="top" wrapText="1"/>
    </xf>
    <xf numFmtId="10" fontId="22" fillId="7" borderId="1" xfId="0" applyNumberFormat="1" applyFont="1" applyFill="1" applyBorder="1" applyAlignment="1">
      <alignment horizontal="center" vertical="top" wrapText="1"/>
    </xf>
    <xf numFmtId="0" fontId="56" fillId="50" borderId="1" xfId="0" applyFont="1" applyFill="1" applyBorder="1" applyAlignment="1">
      <alignment horizontal="center"/>
    </xf>
    <xf numFmtId="10" fontId="22" fillId="0" borderId="0" xfId="0" applyNumberFormat="1" applyFont="1" applyAlignment="1">
      <alignment horizontal="center"/>
    </xf>
    <xf numFmtId="164" fontId="22" fillId="0" borderId="18" xfId="0" applyNumberFormat="1" applyFont="1" applyBorder="1" applyAlignment="1">
      <alignment horizontal="center"/>
    </xf>
    <xf numFmtId="164" fontId="22" fillId="0" borderId="1" xfId="0" applyNumberFormat="1" applyFont="1" applyBorder="1" applyAlignment="1">
      <alignment horizontal="center"/>
    </xf>
    <xf numFmtId="0" fontId="22" fillId="8" borderId="1" xfId="0" applyFont="1" applyFill="1" applyBorder="1" applyAlignment="1">
      <alignment horizontal="center"/>
    </xf>
    <xf numFmtId="10" fontId="56" fillId="50" borderId="1" xfId="0" applyNumberFormat="1" applyFont="1" applyFill="1" applyBorder="1" applyAlignment="1">
      <alignment horizontal="center"/>
    </xf>
    <xf numFmtId="0" fontId="22" fillId="50" borderId="1" xfId="0" quotePrefix="1" applyFont="1" applyFill="1" applyBorder="1" applyAlignment="1">
      <alignment horizontal="left" vertical="center" wrapText="1"/>
    </xf>
    <xf numFmtId="10" fontId="56" fillId="7" borderId="1" xfId="0" applyNumberFormat="1" applyFont="1" applyFill="1" applyBorder="1" applyAlignment="1">
      <alignment horizontal="center"/>
    </xf>
    <xf numFmtId="10" fontId="56" fillId="7" borderId="1" xfId="0" applyNumberFormat="1" applyFont="1" applyFill="1" applyBorder="1" applyAlignment="1">
      <alignment horizontal="center" vertical="center"/>
    </xf>
    <xf numFmtId="0" fontId="22" fillId="50" borderId="18" xfId="0" quotePrefix="1" applyFont="1" applyFill="1" applyBorder="1" applyAlignment="1">
      <alignment horizontal="left" vertical="center" wrapText="1"/>
    </xf>
    <xf numFmtId="10" fontId="22" fillId="50" borderId="18" xfId="0" applyNumberFormat="1" applyFont="1" applyFill="1" applyBorder="1" applyAlignment="1">
      <alignment horizontal="center" vertical="center"/>
    </xf>
    <xf numFmtId="10" fontId="22" fillId="50" borderId="1" xfId="0" applyNumberFormat="1" applyFont="1" applyFill="1" applyBorder="1" applyAlignment="1">
      <alignment horizontal="center" vertical="center"/>
    </xf>
    <xf numFmtId="10" fontId="22" fillId="2" borderId="0" xfId="0" applyNumberFormat="1" applyFont="1" applyFill="1" applyAlignment="1">
      <alignment horizontal="center"/>
    </xf>
    <xf numFmtId="9" fontId="22" fillId="2" borderId="1" xfId="0" applyNumberFormat="1" applyFont="1" applyFill="1" applyBorder="1" applyAlignment="1">
      <alignment horizontal="center"/>
    </xf>
    <xf numFmtId="0" fontId="41" fillId="10" borderId="7" xfId="0" applyFont="1" applyFill="1" applyBorder="1" applyAlignment="1">
      <alignment horizontal="center"/>
    </xf>
    <xf numFmtId="0" fontId="41" fillId="10" borderId="57" xfId="0" applyFont="1" applyFill="1" applyBorder="1" applyAlignment="1">
      <alignment horizontal="center"/>
    </xf>
    <xf numFmtId="0" fontId="41" fillId="10" borderId="8" xfId="0" applyFont="1" applyFill="1" applyBorder="1" applyAlignment="1">
      <alignment horizontal="center"/>
    </xf>
    <xf numFmtId="0" fontId="41" fillId="10" borderId="18" xfId="0" applyFont="1" applyFill="1" applyBorder="1" applyAlignment="1">
      <alignment horizontal="center"/>
    </xf>
    <xf numFmtId="0" fontId="22" fillId="8" borderId="17" xfId="0" applyFont="1" applyFill="1" applyBorder="1" applyAlignment="1">
      <alignment horizontal="center"/>
    </xf>
    <xf numFmtId="0" fontId="22" fillId="8" borderId="3" xfId="0" applyFont="1" applyFill="1" applyBorder="1" applyAlignment="1">
      <alignment horizontal="center"/>
    </xf>
    <xf numFmtId="0" fontId="22" fillId="8" borderId="18" xfId="0" applyFont="1" applyFill="1" applyBorder="1" applyAlignment="1">
      <alignment horizontal="center"/>
    </xf>
    <xf numFmtId="0" fontId="22" fillId="0" borderId="0" xfId="0" applyFont="1" applyAlignment="1">
      <alignment horizontal="center" vertical="center"/>
    </xf>
    <xf numFmtId="0" fontId="22" fillId="0" borderId="0" xfId="0" applyFont="1" applyAlignment="1">
      <alignment horizontal="center" wrapText="1"/>
    </xf>
    <xf numFmtId="1" fontId="22" fillId="0" borderId="0" xfId="0" applyNumberFormat="1" applyFont="1" applyAlignment="1">
      <alignment horizontal="center"/>
    </xf>
    <xf numFmtId="1" fontId="56" fillId="50" borderId="1" xfId="0" applyNumberFormat="1" applyFont="1" applyFill="1" applyBorder="1" applyAlignment="1">
      <alignment horizontal="center" vertical="center"/>
    </xf>
    <xf numFmtId="0" fontId="56" fillId="50" borderId="1" xfId="0" applyFont="1" applyFill="1" applyBorder="1" applyAlignment="1">
      <alignment horizontal="center" vertical="center"/>
    </xf>
    <xf numFmtId="1" fontId="56" fillId="7" borderId="1" xfId="0" applyNumberFormat="1" applyFont="1" applyFill="1" applyBorder="1" applyAlignment="1">
      <alignment horizontal="center"/>
    </xf>
    <xf numFmtId="0" fontId="56" fillId="7" borderId="3" xfId="0" applyFont="1" applyFill="1" applyBorder="1" applyAlignment="1">
      <alignment horizontal="center"/>
    </xf>
    <xf numFmtId="165" fontId="56" fillId="7" borderId="1" xfId="0" applyNumberFormat="1" applyFont="1" applyFill="1" applyBorder="1" applyAlignment="1">
      <alignment horizontal="center"/>
    </xf>
    <xf numFmtId="0" fontId="52" fillId="0" borderId="2" xfId="0" applyFont="1" applyBorder="1"/>
    <xf numFmtId="0" fontId="0" fillId="0" borderId="2" xfId="0" applyBorder="1" applyAlignment="1">
      <alignment horizontal="left"/>
    </xf>
    <xf numFmtId="0" fontId="22" fillId="0" borderId="2" xfId="0" applyFont="1" applyBorder="1" applyAlignment="1">
      <alignment horizontal="left"/>
    </xf>
    <xf numFmtId="0" fontId="56" fillId="48" borderId="1" xfId="0" applyFont="1" applyFill="1" applyBorder="1" applyAlignment="1">
      <alignment horizontal="center" vertical="center"/>
    </xf>
    <xf numFmtId="0" fontId="56" fillId="0" borderId="0" xfId="0" applyFont="1" applyAlignment="1">
      <alignment wrapText="1"/>
    </xf>
    <xf numFmtId="0" fontId="22" fillId="0" borderId="18" xfId="0" applyFont="1" applyBorder="1" applyAlignment="1">
      <alignment horizontal="center"/>
    </xf>
    <xf numFmtId="1" fontId="28" fillId="51" borderId="1" xfId="66" applyNumberFormat="1" applyFill="1" applyBorder="1" applyAlignment="1">
      <alignment horizontal="center"/>
    </xf>
    <xf numFmtId="0" fontId="22" fillId="0" borderId="9" xfId="0" applyFont="1" applyBorder="1"/>
    <xf numFmtId="9" fontId="22" fillId="0" borderId="10" xfId="0" applyNumberFormat="1" applyFont="1" applyBorder="1" applyAlignment="1">
      <alignment horizontal="center"/>
    </xf>
    <xf numFmtId="10" fontId="22" fillId="0" borderId="0" xfId="0" applyNumberFormat="1" applyFont="1"/>
    <xf numFmtId="9" fontId="56" fillId="50" borderId="1" xfId="0" applyNumberFormat="1" applyFont="1" applyFill="1" applyBorder="1" applyAlignment="1">
      <alignment horizontal="center"/>
    </xf>
    <xf numFmtId="0" fontId="56" fillId="50" borderId="45" xfId="0" applyFont="1" applyFill="1" applyBorder="1"/>
    <xf numFmtId="9" fontId="56" fillId="50" borderId="45" xfId="0" applyNumberFormat="1" applyFont="1" applyFill="1" applyBorder="1" applyAlignment="1">
      <alignment horizontal="center"/>
    </xf>
    <xf numFmtId="10" fontId="56" fillId="50" borderId="45" xfId="0" applyNumberFormat="1" applyFont="1" applyFill="1" applyBorder="1" applyAlignment="1">
      <alignment horizontal="center"/>
    </xf>
    <xf numFmtId="0" fontId="52" fillId="0" borderId="0" xfId="0" applyFont="1" applyAlignment="1">
      <alignment horizontal="center"/>
    </xf>
    <xf numFmtId="0" fontId="56" fillId="5" borderId="1" xfId="0" applyFont="1" applyFill="1" applyBorder="1" applyAlignment="1">
      <alignment horizontal="left" vertical="top" wrapText="1"/>
    </xf>
    <xf numFmtId="9" fontId="22" fillId="5" borderId="0" xfId="0" applyNumberFormat="1" applyFont="1" applyFill="1" applyAlignment="1">
      <alignment horizontal="center"/>
    </xf>
    <xf numFmtId="9" fontId="22" fillId="5" borderId="1" xfId="0" applyNumberFormat="1" applyFont="1" applyFill="1" applyBorder="1" applyAlignment="1">
      <alignment horizontal="center"/>
    </xf>
    <xf numFmtId="0" fontId="53" fillId="10" borderId="1" xfId="0" applyFont="1" applyFill="1" applyBorder="1" applyAlignment="1">
      <alignment horizontal="center" vertical="center" wrapText="1"/>
    </xf>
    <xf numFmtId="0" fontId="53" fillId="10" borderId="2" xfId="0" applyFont="1" applyFill="1" applyBorder="1" applyAlignment="1">
      <alignment horizontal="center" vertical="center" wrapText="1"/>
    </xf>
    <xf numFmtId="0" fontId="22" fillId="12" borderId="1" xfId="0" applyFont="1" applyFill="1" applyBorder="1" applyAlignment="1">
      <alignment horizontal="center"/>
    </xf>
    <xf numFmtId="10" fontId="22" fillId="12" borderId="1" xfId="0" applyNumberFormat="1" applyFont="1" applyFill="1" applyBorder="1" applyAlignment="1">
      <alignment horizontal="center"/>
    </xf>
    <xf numFmtId="1" fontId="22" fillId="5" borderId="1" xfId="0" applyNumberFormat="1" applyFont="1" applyFill="1" applyBorder="1" applyAlignment="1">
      <alignment horizontal="center" vertical="top" wrapText="1"/>
    </xf>
    <xf numFmtId="10" fontId="22" fillId="5" borderId="1" xfId="0" applyNumberFormat="1" applyFont="1" applyFill="1" applyBorder="1" applyAlignment="1">
      <alignment horizontal="center" vertical="top" wrapText="1"/>
    </xf>
    <xf numFmtId="0" fontId="22" fillId="5" borderId="1" xfId="0" applyFont="1" applyFill="1" applyBorder="1" applyAlignment="1">
      <alignment horizontal="center" vertical="top" wrapText="1"/>
    </xf>
    <xf numFmtId="10" fontId="22" fillId="12" borderId="1" xfId="0" applyNumberFormat="1" applyFont="1" applyFill="1" applyBorder="1" applyAlignment="1">
      <alignment horizontal="center" vertical="top" wrapText="1"/>
    </xf>
    <xf numFmtId="0" fontId="41" fillId="0" borderId="0" xfId="0" applyFont="1"/>
    <xf numFmtId="0" fontId="41" fillId="10" borderId="1" xfId="0" applyFont="1" applyFill="1" applyBorder="1" applyAlignment="1">
      <alignment horizontal="center" wrapText="1"/>
    </xf>
    <xf numFmtId="165" fontId="22" fillId="0" borderId="1" xfId="0" applyNumberFormat="1" applyFont="1" applyBorder="1" applyAlignment="1">
      <alignment horizontal="center"/>
    </xf>
    <xf numFmtId="0" fontId="22" fillId="10" borderId="1" xfId="0" applyFont="1" applyFill="1" applyBorder="1"/>
    <xf numFmtId="10" fontId="52" fillId="0" borderId="0" xfId="0" applyNumberFormat="1" applyFont="1"/>
    <xf numFmtId="0" fontId="53" fillId="0" borderId="0" xfId="0" applyFont="1" applyAlignment="1">
      <alignment horizontal="center" vertical="center" wrapText="1"/>
    </xf>
    <xf numFmtId="0" fontId="22" fillId="0" borderId="0" xfId="0" applyFont="1" applyAlignment="1">
      <alignment horizontal="center"/>
    </xf>
    <xf numFmtId="9" fontId="22" fillId="0" borderId="1" xfId="0" applyNumberFormat="1" applyFont="1" applyBorder="1"/>
    <xf numFmtId="0" fontId="56" fillId="50"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2" fillId="0" borderId="32" xfId="0" applyFont="1" applyBorder="1" applyAlignment="1">
      <alignment horizontal="center"/>
    </xf>
    <xf numFmtId="165" fontId="22" fillId="0" borderId="20" xfId="1" applyNumberFormat="1" applyFont="1" applyBorder="1" applyAlignment="1">
      <alignment horizontal="center"/>
    </xf>
    <xf numFmtId="0" fontId="56" fillId="50" borderId="30" xfId="0" quotePrefix="1" applyFont="1" applyFill="1" applyBorder="1" applyAlignment="1">
      <alignment horizontal="left"/>
    </xf>
    <xf numFmtId="0" fontId="56" fillId="50" borderId="46" xfId="0" applyFont="1" applyFill="1" applyBorder="1" applyAlignment="1">
      <alignment horizontal="center"/>
    </xf>
    <xf numFmtId="165" fontId="56" fillId="50" borderId="48" xfId="1" applyNumberFormat="1" applyFont="1" applyFill="1" applyBorder="1" applyAlignment="1">
      <alignment horizontal="center"/>
    </xf>
    <xf numFmtId="0" fontId="58" fillId="5" borderId="1" xfId="0" applyFont="1" applyFill="1" applyBorder="1" applyAlignment="1">
      <alignment vertical="center" wrapText="1"/>
    </xf>
    <xf numFmtId="0" fontId="56" fillId="5" borderId="1" xfId="0" applyFont="1" applyFill="1" applyBorder="1"/>
    <xf numFmtId="2" fontId="56" fillId="50" borderId="1" xfId="0" applyNumberFormat="1" applyFont="1" applyFill="1" applyBorder="1"/>
    <xf numFmtId="10" fontId="56" fillId="50" borderId="1" xfId="0" applyNumberFormat="1" applyFont="1" applyFill="1" applyBorder="1"/>
    <xf numFmtId="0" fontId="55" fillId="2" borderId="1" xfId="0" applyFont="1" applyFill="1" applyBorder="1" applyAlignment="1">
      <alignment horizontal="left" vertical="center" wrapText="1"/>
    </xf>
    <xf numFmtId="0" fontId="22"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2" fillId="0" borderId="0" xfId="0" applyFont="1" applyAlignment="1">
      <alignment vertical="center" wrapText="1"/>
    </xf>
    <xf numFmtId="0" fontId="6" fillId="0" borderId="0" xfId="0" applyFont="1" applyAlignment="1">
      <alignment wrapText="1"/>
    </xf>
    <xf numFmtId="1" fontId="22" fillId="0" borderId="2" xfId="0" applyNumberFormat="1" applyFont="1" applyBorder="1" applyAlignment="1">
      <alignment horizontal="center"/>
    </xf>
    <xf numFmtId="0" fontId="53" fillId="10" borderId="47" xfId="0" applyFont="1" applyFill="1" applyBorder="1" applyAlignment="1">
      <alignment horizontal="center" vertical="center" wrapText="1"/>
    </xf>
    <xf numFmtId="0" fontId="53" fillId="10" borderId="23" xfId="0" applyFont="1" applyFill="1" applyBorder="1" applyAlignment="1">
      <alignment horizontal="center" vertical="center" wrapText="1"/>
    </xf>
    <xf numFmtId="9" fontId="4" fillId="0" borderId="10" xfId="0" applyNumberFormat="1" applyFont="1" applyBorder="1" applyAlignment="1">
      <alignment horizontal="center" vertical="center"/>
    </xf>
    <xf numFmtId="0" fontId="5" fillId="50" borderId="29" xfId="0" applyFont="1" applyFill="1" applyBorder="1" applyAlignment="1">
      <alignment vertical="center"/>
    </xf>
    <xf numFmtId="9" fontId="5" fillId="50"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0" borderId="15" xfId="0" applyNumberFormat="1" applyFont="1" applyFill="1" applyBorder="1" applyAlignment="1">
      <alignment horizontal="center" vertical="center"/>
    </xf>
    <xf numFmtId="1" fontId="5" fillId="50"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2" fillId="5" borderId="1" xfId="0" applyNumberFormat="1" applyFont="1" applyFill="1" applyBorder="1" applyAlignment="1">
      <alignment horizontal="center" vertical="center"/>
    </xf>
    <xf numFmtId="10" fontId="22"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56" fillId="5" borderId="1" xfId="0" applyNumberFormat="1" applyFont="1" applyFill="1" applyBorder="1" applyAlignment="1">
      <alignment horizontal="center"/>
    </xf>
    <xf numFmtId="9" fontId="56" fillId="5" borderId="1" xfId="0" applyNumberFormat="1" applyFont="1" applyFill="1" applyBorder="1"/>
    <xf numFmtId="0" fontId="51" fillId="0" borderId="0" xfId="2" quotePrefix="1" applyFont="1" applyAlignment="1" applyProtection="1">
      <protection locked="0"/>
    </xf>
    <xf numFmtId="0" fontId="51" fillId="0" borderId="0" xfId="2" applyFont="1" applyAlignment="1"/>
    <xf numFmtId="10" fontId="22" fillId="0" borderId="1" xfId="0" applyNumberFormat="1" applyFont="1" applyBorder="1" applyAlignment="1">
      <alignment horizontal="center" vertical="center"/>
    </xf>
    <xf numFmtId="0" fontId="9" fillId="10" borderId="1" xfId="0" applyFont="1" applyFill="1" applyBorder="1" applyAlignment="1">
      <alignment horizontal="center"/>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55"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56" fillId="50" borderId="1" xfId="0" applyFont="1" applyFill="1" applyBorder="1" applyAlignment="1">
      <alignment wrapText="1"/>
    </xf>
    <xf numFmtId="0" fontId="58" fillId="50" borderId="1" xfId="0" applyFont="1" applyFill="1" applyBorder="1" applyAlignment="1">
      <alignment vertical="center" wrapText="1"/>
    </xf>
    <xf numFmtId="0" fontId="41"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0"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2" fillId="0" borderId="17" xfId="0" applyFont="1" applyBorder="1"/>
    <xf numFmtId="165" fontId="0" fillId="0" borderId="0" xfId="0" applyNumberFormat="1"/>
    <xf numFmtId="9" fontId="0" fillId="0" borderId="0" xfId="0" applyNumberFormat="1"/>
    <xf numFmtId="1" fontId="4" fillId="0" borderId="0" xfId="0" applyNumberFormat="1" applyFont="1"/>
    <xf numFmtId="9" fontId="52" fillId="0" borderId="0" xfId="0" applyNumberFormat="1" applyFont="1" applyAlignment="1">
      <alignment horizontal="center"/>
    </xf>
    <xf numFmtId="0" fontId="22" fillId="52" borderId="1" xfId="0" applyFont="1" applyFill="1" applyBorder="1"/>
    <xf numFmtId="0" fontId="22" fillId="52" borderId="1" xfId="0" quotePrefix="1" applyFont="1" applyFill="1" applyBorder="1" applyAlignment="1">
      <alignment horizontal="left"/>
    </xf>
    <xf numFmtId="0" fontId="22" fillId="0" borderId="2" xfId="0" applyFont="1" applyBorder="1"/>
    <xf numFmtId="0" fontId="6" fillId="0" borderId="2" xfId="0" applyFont="1" applyBorder="1"/>
    <xf numFmtId="164" fontId="22" fillId="2" borderId="1" xfId="0" applyNumberFormat="1" applyFont="1" applyFill="1" applyBorder="1" applyAlignment="1">
      <alignment horizontal="center"/>
    </xf>
    <xf numFmtId="1" fontId="22" fillId="2" borderId="1" xfId="0" applyNumberFormat="1" applyFont="1" applyFill="1" applyBorder="1" applyAlignment="1">
      <alignment horizontal="center"/>
    </xf>
    <xf numFmtId="164" fontId="22" fillId="2" borderId="1" xfId="0" applyNumberFormat="1" applyFont="1" applyFill="1" applyBorder="1" applyAlignment="1">
      <alignment horizontal="center" vertical="center"/>
    </xf>
    <xf numFmtId="164" fontId="22" fillId="2" borderId="18" xfId="0" applyNumberFormat="1" applyFont="1" applyFill="1" applyBorder="1" applyAlignment="1">
      <alignment horizontal="center" vertical="center"/>
    </xf>
    <xf numFmtId="1" fontId="22" fillId="2" borderId="0" xfId="0" applyNumberFormat="1" applyFont="1" applyFill="1" applyAlignment="1">
      <alignment horizontal="center"/>
    </xf>
    <xf numFmtId="164" fontId="22" fillId="2" borderId="0" xfId="0" applyNumberFormat="1" applyFont="1" applyFill="1" applyAlignment="1">
      <alignment horizontal="center" vertical="center"/>
    </xf>
    <xf numFmtId="1" fontId="0" fillId="0" borderId="0" xfId="0" applyNumberFormat="1"/>
    <xf numFmtId="0" fontId="76" fillId="0" borderId="0" xfId="0" quotePrefix="1" applyFont="1" applyAlignment="1">
      <alignment vertical="center"/>
    </xf>
    <xf numFmtId="166" fontId="4" fillId="0" borderId="0" xfId="0" applyNumberFormat="1" applyFont="1" applyAlignment="1">
      <alignment horizontal="left" vertical="center" indent="14"/>
    </xf>
    <xf numFmtId="0" fontId="42" fillId="3" borderId="1" xfId="0" applyFont="1" applyFill="1" applyBorder="1" applyAlignment="1" applyProtection="1">
      <alignment horizontal="center" vertical="center" wrapText="1"/>
      <protection locked="0"/>
    </xf>
    <xf numFmtId="0" fontId="79" fillId="3" borderId="1" xfId="0" applyFont="1" applyFill="1" applyBorder="1" applyAlignment="1" applyProtection="1">
      <alignment horizontal="center" vertical="center" wrapText="1"/>
      <protection locked="0"/>
    </xf>
    <xf numFmtId="0" fontId="60" fillId="0" borderId="0" xfId="0" quotePrefix="1" applyFont="1" applyAlignment="1">
      <alignment horizontal="left" vertical="center" wrapText="1" indent="14"/>
    </xf>
    <xf numFmtId="0" fontId="1" fillId="0" borderId="0" xfId="0" applyFont="1"/>
    <xf numFmtId="0" fontId="81" fillId="0" borderId="0" xfId="0" applyFont="1"/>
    <xf numFmtId="9" fontId="1" fillId="0" borderId="0" xfId="1" applyFont="1"/>
    <xf numFmtId="0" fontId="82" fillId="0" borderId="1" xfId="0" applyFont="1" applyBorder="1" applyAlignment="1">
      <alignment horizontal="center"/>
    </xf>
    <xf numFmtId="0" fontId="82" fillId="0" borderId="2" xfId="0" applyFont="1" applyBorder="1" applyAlignment="1">
      <alignment horizontal="center"/>
    </xf>
    <xf numFmtId="0" fontId="82" fillId="0" borderId="0" xfId="0" applyFont="1" applyAlignment="1">
      <alignment horizontal="center"/>
    </xf>
    <xf numFmtId="0" fontId="37" fillId="0" borderId="0" xfId="0" applyFont="1"/>
    <xf numFmtId="0" fontId="57" fillId="0" borderId="0" xfId="0" quotePrefix="1" applyFont="1" applyAlignment="1">
      <alignment horizontal="center" vertical="top"/>
    </xf>
    <xf numFmtId="166" fontId="4" fillId="11" borderId="0" xfId="0" applyNumberFormat="1" applyFont="1" applyFill="1" applyAlignment="1">
      <alignment horizontal="left" vertical="center" indent="19"/>
    </xf>
    <xf numFmtId="0" fontId="1" fillId="3" borderId="0" xfId="0" applyFont="1" applyFill="1"/>
    <xf numFmtId="0" fontId="57" fillId="53" borderId="0" xfId="0" quotePrefix="1" applyFont="1" applyFill="1" applyAlignment="1">
      <alignment horizontal="center" vertical="top" wrapText="1"/>
    </xf>
    <xf numFmtId="0" fontId="80" fillId="53" borderId="0" xfId="0" quotePrefix="1" applyFont="1" applyFill="1" applyAlignment="1">
      <alignment horizontal="center" vertical="center" wrapText="1"/>
    </xf>
    <xf numFmtId="0" fontId="80" fillId="0" borderId="0" xfId="0" quotePrefix="1" applyFont="1" applyAlignment="1">
      <alignment horizontal="center" vertical="center" wrapText="1"/>
    </xf>
    <xf numFmtId="166" fontId="4" fillId="0" borderId="0" xfId="0" applyNumberFormat="1" applyFont="1" applyAlignment="1">
      <alignment horizontal="left" vertical="center" indent="20"/>
    </xf>
    <xf numFmtId="166" fontId="4" fillId="11" borderId="0" xfId="0" applyNumberFormat="1" applyFont="1" applyFill="1" applyAlignment="1">
      <alignment horizontal="center" vertical="center"/>
    </xf>
    <xf numFmtId="0" fontId="84" fillId="53" borderId="0" xfId="0" quotePrefix="1" applyFont="1" applyFill="1" applyAlignment="1">
      <alignment horizontal="center" vertical="center" wrapText="1"/>
    </xf>
    <xf numFmtId="0" fontId="84" fillId="0" borderId="0" xfId="0" quotePrefix="1" applyFont="1" applyAlignment="1">
      <alignment horizontal="center" vertical="center" wrapText="1"/>
    </xf>
    <xf numFmtId="166" fontId="4" fillId="0" borderId="0" xfId="0" applyNumberFormat="1" applyFont="1" applyAlignment="1">
      <alignment horizontal="left" vertical="center" indent="19"/>
    </xf>
    <xf numFmtId="166" fontId="4" fillId="0" borderId="0" xfId="0" applyNumberFormat="1" applyFont="1" applyAlignment="1">
      <alignment horizontal="left" vertical="center" indent="15"/>
    </xf>
    <xf numFmtId="166" fontId="4" fillId="0" borderId="0" xfId="0" applyNumberFormat="1" applyFont="1" applyAlignment="1">
      <alignment horizontal="left" vertical="center" indent="4"/>
    </xf>
    <xf numFmtId="0" fontId="84" fillId="0" borderId="0" xfId="0" quotePrefix="1" applyFont="1" applyAlignment="1">
      <alignment vertical="center" wrapText="1"/>
    </xf>
    <xf numFmtId="166" fontId="4" fillId="0" borderId="0" xfId="0" applyNumberFormat="1" applyFont="1" applyAlignment="1">
      <alignment vertical="center"/>
    </xf>
    <xf numFmtId="166" fontId="4" fillId="0" borderId="0" xfId="0" applyNumberFormat="1" applyFont="1" applyAlignment="1">
      <alignment horizontal="left" vertical="center" indent="13"/>
    </xf>
    <xf numFmtId="166" fontId="4" fillId="0" borderId="0" xfId="0" applyNumberFormat="1" applyFont="1" applyAlignment="1">
      <alignment horizontal="left" vertical="center" indent="11"/>
    </xf>
    <xf numFmtId="0" fontId="41" fillId="0" borderId="0" xfId="0" applyFont="1" applyAlignment="1">
      <alignment horizontal="center" vertical="center" wrapText="1"/>
    </xf>
    <xf numFmtId="166" fontId="4" fillId="0" borderId="0" xfId="0" applyNumberFormat="1" applyFont="1" applyAlignment="1">
      <alignment horizontal="left" vertical="center" indent="17"/>
    </xf>
    <xf numFmtId="166" fontId="4" fillId="0" borderId="0" xfId="0" applyNumberFormat="1" applyFont="1" applyAlignment="1">
      <alignment horizontal="left" vertical="center" indent="16"/>
    </xf>
    <xf numFmtId="0" fontId="87" fillId="55" borderId="9" xfId="0" applyFont="1" applyFill="1" applyBorder="1" applyAlignment="1">
      <alignment horizontal="center" vertical="center" wrapText="1"/>
    </xf>
    <xf numFmtId="0" fontId="87" fillId="55" borderId="1" xfId="0" applyFont="1" applyFill="1" applyBorder="1" applyAlignment="1">
      <alignment horizontal="center" vertical="center" wrapText="1"/>
    </xf>
    <xf numFmtId="0" fontId="87" fillId="55" borderId="10" xfId="0" quotePrefix="1" applyFont="1" applyFill="1" applyBorder="1" applyAlignment="1">
      <alignment horizontal="center" vertical="center" wrapText="1"/>
    </xf>
    <xf numFmtId="0" fontId="87" fillId="54" borderId="9" xfId="0" applyFont="1" applyFill="1" applyBorder="1" applyAlignment="1">
      <alignment horizontal="center" vertical="center" wrapText="1"/>
    </xf>
    <xf numFmtId="0" fontId="87" fillId="54" borderId="1" xfId="0" applyFont="1" applyFill="1" applyBorder="1" applyAlignment="1">
      <alignment horizontal="center" vertical="center" wrapText="1"/>
    </xf>
    <xf numFmtId="0" fontId="87" fillId="54" borderId="10" xfId="0" quotePrefix="1" applyFont="1" applyFill="1" applyBorder="1" applyAlignment="1">
      <alignment horizontal="center" vertical="center" wrapText="1"/>
    </xf>
    <xf numFmtId="0" fontId="77" fillId="0" borderId="0" xfId="0" quotePrefix="1" applyFont="1" applyAlignment="1">
      <alignment horizontal="center" wrapText="1"/>
    </xf>
    <xf numFmtId="0" fontId="80" fillId="0" borderId="0" xfId="0" quotePrefix="1" applyFont="1" applyAlignment="1">
      <alignment horizontal="center" wrapText="1"/>
    </xf>
    <xf numFmtId="1" fontId="89" fillId="8" borderId="56" xfId="0" applyNumberFormat="1" applyFont="1" applyFill="1" applyBorder="1" applyAlignment="1">
      <alignment horizontal="center" vertical="center"/>
    </xf>
    <xf numFmtId="0" fontId="90" fillId="48" borderId="2" xfId="0" quotePrefix="1" applyFont="1" applyFill="1" applyBorder="1" applyAlignment="1">
      <alignment horizontal="left" vertical="center"/>
    </xf>
    <xf numFmtId="0" fontId="91" fillId="48" borderId="26" xfId="0" quotePrefix="1" applyFont="1" applyFill="1" applyBorder="1" applyAlignment="1">
      <alignment horizontal="center" vertical="center"/>
    </xf>
    <xf numFmtId="0" fontId="91" fillId="48" borderId="25" xfId="0" quotePrefix="1" applyFont="1" applyFill="1" applyBorder="1" applyAlignment="1">
      <alignment horizontal="center" vertical="center"/>
    </xf>
    <xf numFmtId="0" fontId="88" fillId="10" borderId="17" xfId="0" applyFont="1" applyFill="1" applyBorder="1" applyAlignment="1">
      <alignment horizontal="center"/>
    </xf>
    <xf numFmtId="0" fontId="90" fillId="48" borderId="2" xfId="0" quotePrefix="1" applyFont="1" applyFill="1" applyBorder="1" applyAlignment="1">
      <alignment vertical="center"/>
    </xf>
    <xf numFmtId="0" fontId="90" fillId="48" borderId="26" xfId="0" quotePrefix="1" applyFont="1" applyFill="1" applyBorder="1" applyAlignment="1">
      <alignment vertical="center"/>
    </xf>
    <xf numFmtId="0" fontId="95" fillId="48" borderId="1" xfId="0" quotePrefix="1" applyFont="1" applyFill="1" applyBorder="1" applyAlignment="1">
      <alignment horizontal="center" vertical="center" wrapText="1"/>
    </xf>
    <xf numFmtId="0" fontId="90" fillId="48" borderId="26" xfId="0" quotePrefix="1" applyFont="1" applyFill="1" applyBorder="1" applyAlignment="1">
      <alignment horizontal="left" vertical="center"/>
    </xf>
    <xf numFmtId="0" fontId="41" fillId="10" borderId="0" xfId="0" applyFont="1" applyFill="1" applyAlignment="1">
      <alignment horizontal="center"/>
    </xf>
    <xf numFmtId="0" fontId="56" fillId="48" borderId="1" xfId="0" applyFont="1" applyFill="1" applyBorder="1" applyAlignment="1">
      <alignment horizontal="center" vertical="center" wrapText="1"/>
    </xf>
    <xf numFmtId="0" fontId="41" fillId="10" borderId="17" xfId="0" applyFont="1" applyFill="1" applyBorder="1" applyAlignment="1">
      <alignment horizontal="center" wrapText="1"/>
    </xf>
    <xf numFmtId="1" fontId="52" fillId="0" borderId="0" xfId="0" applyNumberFormat="1" applyFont="1"/>
    <xf numFmtId="0" fontId="5" fillId="13" borderId="1" xfId="0" applyFont="1" applyFill="1" applyBorder="1" applyAlignment="1" applyProtection="1">
      <alignment horizontal="center" vertical="center" wrapText="1"/>
      <protection locked="0"/>
    </xf>
    <xf numFmtId="10" fontId="103" fillId="0" borderId="1" xfId="0" applyNumberFormat="1" applyFont="1" applyBorder="1" applyAlignment="1">
      <alignment horizontal="center" vertical="center"/>
    </xf>
    <xf numFmtId="0" fontId="95" fillId="48" borderId="2" xfId="0" quotePrefix="1" applyFont="1" applyFill="1" applyBorder="1" applyAlignment="1">
      <alignment horizontal="left" vertical="center"/>
    </xf>
    <xf numFmtId="0" fontId="95" fillId="48" borderId="26" xfId="0" quotePrefix="1" applyFont="1" applyFill="1" applyBorder="1" applyAlignment="1">
      <alignment horizontal="center" vertical="center"/>
    </xf>
    <xf numFmtId="2" fontId="52" fillId="0" borderId="0" xfId="0" applyNumberFormat="1" applyFont="1"/>
    <xf numFmtId="0" fontId="44" fillId="48" borderId="2" xfId="0" quotePrefix="1" applyFont="1" applyFill="1" applyBorder="1" applyAlignment="1">
      <alignment horizontal="left" vertical="center"/>
    </xf>
    <xf numFmtId="0" fontId="5" fillId="48"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5" fillId="8" borderId="1" xfId="0" applyFont="1" applyFill="1" applyBorder="1" applyAlignment="1" applyProtection="1">
      <alignment horizontal="center" vertical="center" wrapText="1"/>
      <protection locked="0"/>
    </xf>
    <xf numFmtId="0" fontId="6" fillId="8" borderId="1" xfId="0" applyFont="1" applyFill="1" applyBorder="1" applyAlignment="1">
      <alignment horizontal="center" wrapText="1"/>
    </xf>
    <xf numFmtId="0" fontId="56" fillId="0" borderId="1" xfId="0" applyFont="1" applyBorder="1" applyAlignment="1">
      <alignment wrapText="1"/>
    </xf>
    <xf numFmtId="10" fontId="103" fillId="0" borderId="1" xfId="0" applyNumberFormat="1" applyFont="1" applyBorder="1" applyAlignment="1">
      <alignment horizontal="center"/>
    </xf>
    <xf numFmtId="0" fontId="40" fillId="48" borderId="1" xfId="0" applyFont="1" applyFill="1" applyBorder="1" applyAlignment="1" applyProtection="1">
      <alignment horizontal="center" vertical="center" wrapText="1"/>
      <protection locked="0"/>
    </xf>
    <xf numFmtId="0" fontId="82" fillId="0" borderId="25" xfId="0" applyFont="1" applyBorder="1" applyAlignment="1">
      <alignment horizontal="center"/>
    </xf>
    <xf numFmtId="0" fontId="95" fillId="8" borderId="1" xfId="0" applyFont="1" applyFill="1" applyBorder="1"/>
    <xf numFmtId="0" fontId="61" fillId="8" borderId="1" xfId="0" applyFont="1" applyFill="1" applyBorder="1" applyAlignment="1">
      <alignment horizontal="left"/>
    </xf>
    <xf numFmtId="0" fontId="104" fillId="0" borderId="0" xfId="0" applyFont="1" applyAlignment="1">
      <alignment vertical="center" wrapText="1"/>
    </xf>
    <xf numFmtId="0" fontId="106" fillId="0" borderId="0" xfId="0" applyFont="1"/>
    <xf numFmtId="10" fontId="106" fillId="0" borderId="0" xfId="0" applyNumberFormat="1" applyFont="1"/>
    <xf numFmtId="2" fontId="103" fillId="0" borderId="1" xfId="0" applyNumberFormat="1" applyFont="1" applyBorder="1" applyAlignment="1">
      <alignment horizontal="center" vertical="center"/>
    </xf>
    <xf numFmtId="2" fontId="22" fillId="50" borderId="1" xfId="0" applyNumberFormat="1" applyFont="1" applyFill="1" applyBorder="1" applyAlignment="1">
      <alignment horizontal="center" vertical="center"/>
    </xf>
    <xf numFmtId="2" fontId="103" fillId="0" borderId="1" xfId="0" applyNumberFormat="1" applyFont="1" applyBorder="1" applyAlignment="1">
      <alignment horizontal="center"/>
    </xf>
    <xf numFmtId="0" fontId="22" fillId="2" borderId="1" xfId="0" applyFont="1" applyFill="1" applyBorder="1" applyAlignment="1">
      <alignment horizontal="center" vertical="center"/>
    </xf>
    <xf numFmtId="0" fontId="0" fillId="0" borderId="1" xfId="0" applyBorder="1" applyAlignment="1">
      <alignment horizontal="center"/>
    </xf>
    <xf numFmtId="0" fontId="107" fillId="0" borderId="0" xfId="0" applyFont="1"/>
    <xf numFmtId="0" fontId="0" fillId="0" borderId="0" xfId="0" applyFont="1"/>
    <xf numFmtId="0" fontId="0" fillId="0" borderId="1" xfId="0" applyBorder="1" applyAlignment="1">
      <alignment horizontal="center"/>
    </xf>
    <xf numFmtId="0" fontId="82" fillId="0" borderId="17" xfId="0" applyFont="1" applyBorder="1" applyAlignment="1">
      <alignment horizontal="center"/>
    </xf>
    <xf numFmtId="0" fontId="109" fillId="0" borderId="1" xfId="0" applyFont="1" applyBorder="1" applyAlignment="1">
      <alignment vertical="center" wrapText="1"/>
    </xf>
    <xf numFmtId="0" fontId="0" fillId="0" borderId="25" xfId="0" applyBorder="1" applyAlignment="1">
      <alignment horizontal="center"/>
    </xf>
    <xf numFmtId="164" fontId="22" fillId="0" borderId="54" xfId="0" applyNumberFormat="1" applyFont="1" applyBorder="1" applyAlignment="1">
      <alignment horizontal="center"/>
    </xf>
    <xf numFmtId="0" fontId="108" fillId="0" borderId="1" xfId="0" applyFont="1" applyBorder="1" applyAlignment="1">
      <alignment horizontal="center" vertical="center" wrapText="1"/>
    </xf>
    <xf numFmtId="164" fontId="22" fillId="0" borderId="0" xfId="0" applyNumberFormat="1" applyFont="1" applyBorder="1" applyAlignment="1">
      <alignment horizontal="center"/>
    </xf>
    <xf numFmtId="0" fontId="22" fillId="0" borderId="0" xfId="0" applyFont="1" applyBorder="1" applyAlignment="1">
      <alignment horizontal="center" vertical="center"/>
    </xf>
    <xf numFmtId="0" fontId="22" fillId="2" borderId="0" xfId="0" applyFont="1" applyFill="1" applyBorder="1" applyAlignment="1">
      <alignment horizontal="center" vertical="center"/>
    </xf>
    <xf numFmtId="0" fontId="22" fillId="0" borderId="25" xfId="0" applyFont="1" applyBorder="1" applyAlignment="1">
      <alignment horizontal="center" vertical="center"/>
    </xf>
    <xf numFmtId="0" fontId="22" fillId="0" borderId="4" xfId="0" applyFont="1" applyBorder="1" applyAlignment="1">
      <alignment horizontal="center" vertical="center"/>
    </xf>
    <xf numFmtId="0" fontId="22" fillId="0" borderId="25" xfId="0" applyFont="1" applyBorder="1"/>
    <xf numFmtId="0" fontId="110" fillId="0" borderId="0" xfId="0" applyFont="1"/>
    <xf numFmtId="0" fontId="22" fillId="0" borderId="1" xfId="0" applyFont="1" applyBorder="1" applyAlignment="1">
      <alignment horizontal="center" vertical="center" wrapText="1"/>
    </xf>
    <xf numFmtId="0" fontId="22" fillId="2" borderId="1" xfId="0" applyFont="1" applyFill="1" applyBorder="1" applyAlignment="1">
      <alignment horizontal="center" vertical="center" wrapText="1"/>
    </xf>
    <xf numFmtId="0" fontId="82" fillId="0" borderId="0" xfId="0" applyFont="1" applyBorder="1" applyAlignment="1">
      <alignment horizontal="center"/>
    </xf>
    <xf numFmtId="0" fontId="82" fillId="0" borderId="26" xfId="0" applyFont="1" applyBorder="1" applyAlignment="1">
      <alignment horizontal="center"/>
    </xf>
    <xf numFmtId="9" fontId="82" fillId="0" borderId="0" xfId="1" applyFont="1" applyBorder="1" applyAlignment="1">
      <alignment horizontal="center"/>
    </xf>
    <xf numFmtId="0" fontId="22" fillId="8" borderId="1" xfId="0" applyFont="1" applyFill="1" applyBorder="1" applyAlignment="1">
      <alignment horizontal="center" wrapText="1"/>
    </xf>
    <xf numFmtId="0" fontId="22" fillId="0" borderId="1" xfId="0" applyFont="1" applyBorder="1" applyAlignment="1">
      <alignment horizontal="center" wrapText="1"/>
    </xf>
    <xf numFmtId="0" fontId="22" fillId="6" borderId="1" xfId="0" applyFont="1" applyFill="1" applyBorder="1" applyAlignment="1">
      <alignment horizontal="center" wrapText="1"/>
    </xf>
    <xf numFmtId="164" fontId="22" fillId="0" borderId="17" xfId="0" applyNumberFormat="1" applyFont="1" applyBorder="1" applyAlignment="1">
      <alignment horizontal="center"/>
    </xf>
    <xf numFmtId="0" fontId="56" fillId="0" borderId="0" xfId="0" applyFont="1" applyAlignment="1">
      <alignment horizontal="center" wrapText="1"/>
    </xf>
    <xf numFmtId="0" fontId="1" fillId="56" borderId="0" xfId="0" applyFont="1" applyFill="1"/>
    <xf numFmtId="0" fontId="1" fillId="56" borderId="0" xfId="0" applyFont="1" applyFill="1" applyBorder="1"/>
    <xf numFmtId="0" fontId="0" fillId="56" borderId="0" xfId="0" applyFill="1"/>
    <xf numFmtId="9" fontId="1" fillId="56" borderId="0" xfId="1" applyFont="1" applyFill="1" applyBorder="1"/>
    <xf numFmtId="0" fontId="104" fillId="56" borderId="0" xfId="0" applyFont="1" applyFill="1" applyBorder="1"/>
    <xf numFmtId="0" fontId="0" fillId="56" borderId="0" xfId="0" applyFill="1" applyBorder="1"/>
    <xf numFmtId="0" fontId="105" fillId="56" borderId="0" xfId="0" applyFont="1" applyFill="1" applyBorder="1" applyAlignment="1">
      <alignment vertical="center"/>
    </xf>
    <xf numFmtId="0" fontId="0" fillId="0" borderId="0" xfId="0" quotePrefix="1" applyFill="1"/>
    <xf numFmtId="0" fontId="0" fillId="0" borderId="0" xfId="0" applyFill="1"/>
    <xf numFmtId="0" fontId="111" fillId="0" borderId="0" xfId="0" quotePrefix="1" applyFont="1" applyFill="1" applyAlignment="1">
      <alignment horizontal="center" vertical="center"/>
    </xf>
    <xf numFmtId="0" fontId="77" fillId="0" borderId="0" xfId="0" quotePrefix="1" applyFont="1" applyFill="1" applyAlignment="1">
      <alignment horizontal="center" vertical="center"/>
    </xf>
    <xf numFmtId="0" fontId="0" fillId="0" borderId="0" xfId="0" applyAlignment="1">
      <alignment wrapText="1"/>
    </xf>
    <xf numFmtId="0" fontId="77" fillId="0" borderId="0" xfId="0" quotePrefix="1" applyFont="1" applyFill="1" applyAlignment="1">
      <alignment horizontal="center" vertical="center" wrapText="1"/>
    </xf>
    <xf numFmtId="0" fontId="49" fillId="0" borderId="0" xfId="0" applyFont="1" applyAlignment="1">
      <alignment wrapText="1"/>
    </xf>
    <xf numFmtId="0" fontId="51" fillId="0" borderId="0" xfId="2" applyFont="1" applyAlignment="1">
      <alignment wrapText="1"/>
    </xf>
    <xf numFmtId="0" fontId="51" fillId="0" borderId="0" xfId="2" quotePrefix="1" applyFont="1" applyAlignment="1" applyProtection="1">
      <alignment wrapText="1"/>
      <protection locked="0"/>
    </xf>
    <xf numFmtId="0" fontId="0" fillId="0" borderId="0" xfId="0" applyFill="1" applyAlignment="1">
      <alignment wrapText="1"/>
    </xf>
    <xf numFmtId="0" fontId="50" fillId="0" borderId="0" xfId="0" applyFont="1" applyAlignment="1">
      <alignment wrapText="1"/>
    </xf>
    <xf numFmtId="0" fontId="0" fillId="0" borderId="0" xfId="0" quotePrefix="1" applyFill="1" applyAlignment="1">
      <alignment wrapText="1"/>
    </xf>
    <xf numFmtId="0" fontId="102" fillId="0" borderId="0" xfId="0" applyFont="1"/>
    <xf numFmtId="0" fontId="54" fillId="10" borderId="1" xfId="0" quotePrefix="1" applyFont="1" applyFill="1" applyBorder="1" applyAlignment="1">
      <alignment horizontal="center" vertical="center" wrapText="1"/>
    </xf>
    <xf numFmtId="0" fontId="112" fillId="10" borderId="1" xfId="0" quotePrefix="1" applyFont="1" applyFill="1" applyBorder="1" applyAlignment="1">
      <alignment horizontal="center" vertical="center"/>
    </xf>
    <xf numFmtId="0" fontId="11" fillId="0" borderId="0" xfId="0" quotePrefix="1" applyFont="1" applyFill="1" applyBorder="1" applyAlignment="1">
      <alignment horizontal="center" vertical="center"/>
    </xf>
    <xf numFmtId="0" fontId="11" fillId="58" borderId="1" xfId="0" quotePrefix="1" applyFont="1" applyFill="1" applyBorder="1" applyAlignment="1">
      <alignment horizontal="left" vertical="center" wrapText="1"/>
    </xf>
    <xf numFmtId="0" fontId="11" fillId="58" borderId="1" xfId="0" quotePrefix="1" applyFont="1" applyFill="1" applyBorder="1" applyAlignment="1">
      <alignment horizontal="left" vertical="center"/>
    </xf>
    <xf numFmtId="49" fontId="114" fillId="57" borderId="0" xfId="0" applyNumberFormat="1" applyFont="1" applyFill="1" applyBorder="1" applyAlignment="1">
      <alignment horizontal="left"/>
    </xf>
    <xf numFmtId="0" fontId="1" fillId="3" borderId="0" xfId="0" applyFont="1" applyFill="1" applyBorder="1" applyAlignment="1">
      <alignment horizontal="left"/>
    </xf>
    <xf numFmtId="0" fontId="52" fillId="0" borderId="18" xfId="0" applyFont="1" applyBorder="1" applyAlignment="1">
      <alignment horizontal="center" vertical="center"/>
    </xf>
    <xf numFmtId="49" fontId="114" fillId="59" borderId="0" xfId="0" applyNumberFormat="1" applyFont="1" applyFill="1" applyBorder="1" applyAlignment="1">
      <alignment horizontal="left"/>
    </xf>
    <xf numFmtId="0" fontId="1" fillId="56" borderId="62" xfId="0" applyFont="1" applyFill="1" applyBorder="1"/>
    <xf numFmtId="0" fontId="22" fillId="0" borderId="17" xfId="0" applyFont="1" applyBorder="1" applyAlignment="1">
      <alignment horizontal="center"/>
    </xf>
    <xf numFmtId="0" fontId="22" fillId="0" borderId="3" xfId="0" applyFont="1" applyBorder="1" applyAlignment="1">
      <alignment horizontal="center"/>
    </xf>
    <xf numFmtId="1" fontId="22" fillId="2" borderId="25" xfId="0" applyNumberFormat="1" applyFont="1" applyFill="1" applyBorder="1" applyAlignment="1">
      <alignment horizontal="center"/>
    </xf>
    <xf numFmtId="0" fontId="5" fillId="48" borderId="17" xfId="0" applyFont="1" applyFill="1" applyBorder="1" applyAlignment="1">
      <alignment horizontal="center" vertical="center"/>
    </xf>
    <xf numFmtId="0" fontId="41" fillId="10" borderId="3" xfId="0" applyFont="1" applyFill="1" applyBorder="1" applyAlignment="1">
      <alignment horizontal="center"/>
    </xf>
    <xf numFmtId="164" fontId="22" fillId="2" borderId="25" xfId="0" applyNumberFormat="1" applyFont="1" applyFill="1" applyBorder="1" applyAlignment="1">
      <alignment horizontal="center"/>
    </xf>
    <xf numFmtId="1" fontId="22" fillId="0" borderId="25" xfId="0" applyNumberFormat="1" applyFont="1" applyBorder="1" applyAlignment="1">
      <alignment horizontal="center"/>
    </xf>
    <xf numFmtId="0" fontId="41" fillId="10" borderId="61" xfId="0" applyFont="1" applyFill="1" applyBorder="1" applyAlignment="1">
      <alignment horizontal="center"/>
    </xf>
    <xf numFmtId="0" fontId="56" fillId="7" borderId="21" xfId="0" applyFont="1" applyFill="1" applyBorder="1" applyAlignment="1">
      <alignment horizontal="center"/>
    </xf>
    <xf numFmtId="165" fontId="22" fillId="0" borderId="17" xfId="0" applyNumberFormat="1" applyFont="1" applyBorder="1" applyAlignment="1">
      <alignment horizontal="center"/>
    </xf>
    <xf numFmtId="0" fontId="56" fillId="7" borderId="61" xfId="0" applyFont="1" applyFill="1" applyBorder="1" applyAlignment="1">
      <alignment horizontal="center"/>
    </xf>
    <xf numFmtId="0" fontId="56" fillId="7" borderId="12" xfId="0" applyFont="1" applyFill="1" applyBorder="1" applyAlignment="1">
      <alignment horizontal="center"/>
    </xf>
    <xf numFmtId="0" fontId="56" fillId="7" borderId="13" xfId="0" applyFont="1" applyFill="1" applyBorder="1" applyAlignment="1">
      <alignment horizontal="center"/>
    </xf>
    <xf numFmtId="1" fontId="22" fillId="0" borderId="17" xfId="0" applyNumberFormat="1" applyFont="1" applyBorder="1" applyAlignment="1">
      <alignment horizontal="center"/>
    </xf>
    <xf numFmtId="0" fontId="56" fillId="7" borderId="64" xfId="0" applyFont="1" applyFill="1" applyBorder="1" applyAlignment="1">
      <alignment horizontal="center"/>
    </xf>
    <xf numFmtId="1" fontId="56" fillId="7" borderId="63" xfId="0" applyNumberFormat="1" applyFont="1" applyFill="1" applyBorder="1" applyAlignment="1">
      <alignment horizontal="center"/>
    </xf>
    <xf numFmtId="0" fontId="56" fillId="7" borderId="8" xfId="0" applyFont="1" applyFill="1" applyBorder="1" applyAlignment="1">
      <alignment horizontal="center"/>
    </xf>
    <xf numFmtId="0" fontId="56" fillId="7" borderId="10" xfId="0" applyFont="1" applyFill="1" applyBorder="1" applyAlignment="1">
      <alignment horizontal="center"/>
    </xf>
    <xf numFmtId="0" fontId="56" fillId="50" borderId="16" xfId="0" applyFont="1" applyFill="1" applyBorder="1" applyAlignment="1">
      <alignment horizontal="center" vertical="center" wrapText="1"/>
    </xf>
    <xf numFmtId="1" fontId="56" fillId="50" borderId="16" xfId="0" applyNumberFormat="1" applyFont="1" applyFill="1" applyBorder="1" applyAlignment="1">
      <alignment horizontal="center" vertical="center"/>
    </xf>
    <xf numFmtId="0" fontId="56" fillId="50" borderId="14" xfId="0" applyFont="1" applyFill="1" applyBorder="1" applyAlignment="1">
      <alignment horizontal="center" vertical="center"/>
    </xf>
    <xf numFmtId="0" fontId="56" fillId="7" borderId="65" xfId="0" applyFont="1" applyFill="1" applyBorder="1" applyAlignment="1">
      <alignment horizontal="center"/>
    </xf>
    <xf numFmtId="165" fontId="56" fillId="0" borderId="8" xfId="0" applyNumberFormat="1" applyFont="1" applyBorder="1" applyAlignment="1">
      <alignment horizontal="center"/>
    </xf>
    <xf numFmtId="165" fontId="56" fillId="0" borderId="10" xfId="0" applyNumberFormat="1" applyFont="1" applyBorder="1" applyAlignment="1">
      <alignment horizontal="center"/>
    </xf>
    <xf numFmtId="165" fontId="56" fillId="0" borderId="14" xfId="0" applyNumberFormat="1" applyFont="1" applyBorder="1" applyAlignment="1">
      <alignment horizontal="center"/>
    </xf>
    <xf numFmtId="0" fontId="56" fillId="7" borderId="66" xfId="0" applyFont="1" applyFill="1" applyBorder="1" applyAlignment="1">
      <alignment horizontal="center"/>
    </xf>
    <xf numFmtId="0" fontId="56" fillId="7" borderId="67" xfId="0" applyFont="1" applyFill="1" applyBorder="1" applyAlignment="1">
      <alignment horizontal="center"/>
    </xf>
    <xf numFmtId="165" fontId="56" fillId="7" borderId="63" xfId="0" applyNumberFormat="1" applyFont="1" applyFill="1" applyBorder="1" applyAlignment="1">
      <alignment horizontal="center"/>
    </xf>
    <xf numFmtId="165" fontId="56" fillId="7" borderId="16" xfId="0" applyNumberFormat="1" applyFont="1" applyFill="1" applyBorder="1" applyAlignment="1">
      <alignment horizontal="center"/>
    </xf>
    <xf numFmtId="165" fontId="56" fillId="7" borderId="8" xfId="0" applyNumberFormat="1" applyFont="1" applyFill="1" applyBorder="1" applyAlignment="1">
      <alignment horizontal="center"/>
    </xf>
    <xf numFmtId="165" fontId="56" fillId="7" borderId="10" xfId="0" applyNumberFormat="1" applyFont="1" applyFill="1" applyBorder="1" applyAlignment="1">
      <alignment horizontal="center"/>
    </xf>
    <xf numFmtId="165" fontId="56" fillId="7" borderId="14" xfId="0" applyNumberFormat="1" applyFont="1" applyFill="1" applyBorder="1" applyAlignment="1">
      <alignment horizontal="center"/>
    </xf>
    <xf numFmtId="0" fontId="0" fillId="0" borderId="0" xfId="0" applyAlignment="1">
      <alignment horizontal="left" indent="1"/>
    </xf>
    <xf numFmtId="0" fontId="104" fillId="3" borderId="0" xfId="0" applyFont="1" applyFill="1" applyAlignment="1">
      <alignment vertical="center"/>
    </xf>
    <xf numFmtId="0" fontId="1" fillId="3" borderId="0" xfId="0" applyFont="1" applyFill="1" applyBorder="1"/>
    <xf numFmtId="0" fontId="113" fillId="53" borderId="0" xfId="0" quotePrefix="1" applyFont="1" applyFill="1" applyAlignment="1">
      <alignment horizontal="center" vertical="center" wrapText="1"/>
    </xf>
    <xf numFmtId="0" fontId="42" fillId="45" borderId="2" xfId="0" applyFont="1" applyFill="1" applyBorder="1" applyAlignment="1">
      <alignment horizontal="center"/>
    </xf>
    <xf numFmtId="0" fontId="42" fillId="45" borderId="26" xfId="0" applyFont="1" applyFill="1" applyBorder="1" applyAlignment="1">
      <alignment horizontal="center"/>
    </xf>
    <xf numFmtId="0" fontId="42" fillId="45" borderId="2" xfId="0" applyNumberFormat="1" applyFont="1" applyFill="1" applyBorder="1" applyAlignment="1">
      <alignment horizontal="center"/>
    </xf>
    <xf numFmtId="0" fontId="42" fillId="45" borderId="25" xfId="0" applyNumberFormat="1" applyFont="1" applyFill="1" applyBorder="1" applyAlignment="1">
      <alignment horizontal="center"/>
    </xf>
    <xf numFmtId="0" fontId="77" fillId="53" borderId="0" xfId="0" quotePrefix="1" applyFont="1" applyFill="1" applyAlignment="1">
      <alignment horizontal="center" vertical="top" wrapText="1"/>
    </xf>
    <xf numFmtId="0" fontId="90" fillId="48" borderId="20" xfId="0" applyFont="1" applyFill="1" applyBorder="1" applyAlignment="1">
      <alignment horizontal="left" vertical="center"/>
    </xf>
    <xf numFmtId="0" fontId="90" fillId="48" borderId="4" xfId="0" applyFont="1" applyFill="1" applyBorder="1" applyAlignment="1">
      <alignment horizontal="left" vertical="center"/>
    </xf>
    <xf numFmtId="0" fontId="92" fillId="48" borderId="4" xfId="0" applyFont="1" applyFill="1" applyBorder="1" applyAlignment="1">
      <alignment horizontal="left"/>
    </xf>
    <xf numFmtId="0" fontId="93" fillId="48" borderId="4" xfId="0" applyFont="1" applyFill="1" applyBorder="1" applyAlignment="1">
      <alignment horizontal="left"/>
    </xf>
    <xf numFmtId="0" fontId="90" fillId="48" borderId="2" xfId="0" quotePrefix="1" applyFont="1" applyFill="1" applyBorder="1" applyAlignment="1">
      <alignment horizontal="left" vertical="center"/>
    </xf>
    <xf numFmtId="0" fontId="90" fillId="48" borderId="26" xfId="0" quotePrefix="1" applyFont="1" applyFill="1" applyBorder="1" applyAlignment="1">
      <alignment horizontal="left" vertical="center"/>
    </xf>
    <xf numFmtId="0" fontId="77" fillId="53" borderId="0" xfId="0" quotePrefix="1" applyFont="1" applyFill="1" applyAlignment="1">
      <alignment horizontal="center" vertical="center"/>
    </xf>
    <xf numFmtId="0" fontId="11" fillId="8" borderId="56" xfId="0" applyFont="1" applyFill="1" applyBorder="1" applyAlignment="1">
      <alignment horizontal="center"/>
    </xf>
    <xf numFmtId="0" fontId="11" fillId="8" borderId="0" xfId="0" applyFont="1" applyFill="1" applyAlignment="1">
      <alignment horizontal="center"/>
    </xf>
    <xf numFmtId="0" fontId="22" fillId="0" borderId="1" xfId="0" applyFont="1" applyBorder="1" applyAlignment="1">
      <alignment horizontal="center" vertical="center" wrapText="1"/>
    </xf>
    <xf numFmtId="0" fontId="52" fillId="0" borderId="1" xfId="0" applyFont="1" applyBorder="1" applyAlignment="1">
      <alignment wrapText="1"/>
    </xf>
    <xf numFmtId="0" fontId="52" fillId="0" borderId="1" xfId="0" applyFont="1" applyBorder="1" applyAlignment="1"/>
    <xf numFmtId="10" fontId="22" fillId="0" borderId="1" xfId="0" applyNumberFormat="1" applyFont="1" applyBorder="1" applyAlignment="1">
      <alignment horizontal="center" vertical="center"/>
    </xf>
    <xf numFmtId="0" fontId="90" fillId="48" borderId="1" xfId="0" applyFont="1" applyFill="1" applyBorder="1" applyAlignment="1">
      <alignment horizontal="left"/>
    </xf>
    <xf numFmtId="0" fontId="10" fillId="48" borderId="20" xfId="0" applyFont="1" applyFill="1" applyBorder="1" applyAlignment="1">
      <alignment horizontal="center" vertical="center" wrapText="1"/>
    </xf>
    <xf numFmtId="0" fontId="94" fillId="48" borderId="4" xfId="0" applyFont="1" applyFill="1" applyBorder="1" applyAlignment="1">
      <alignment wrapText="1"/>
    </xf>
    <xf numFmtId="0" fontId="11" fillId="48" borderId="1" xfId="0" applyFont="1" applyFill="1" applyBorder="1" applyAlignment="1">
      <alignment horizontal="center" vertical="center"/>
    </xf>
    <xf numFmtId="166" fontId="4" fillId="11" borderId="0" xfId="0" applyNumberFormat="1" applyFont="1" applyFill="1" applyAlignment="1">
      <alignment horizontal="center" vertical="center"/>
    </xf>
    <xf numFmtId="1" fontId="10" fillId="48" borderId="56" xfId="0" applyNumberFormat="1" applyFont="1" applyFill="1" applyBorder="1" applyAlignment="1">
      <alignment horizontal="center" vertical="center"/>
    </xf>
    <xf numFmtId="1" fontId="10" fillId="48" borderId="0" xfId="0" applyNumberFormat="1" applyFont="1" applyFill="1" applyBorder="1" applyAlignment="1">
      <alignment horizontal="center" vertical="center"/>
    </xf>
    <xf numFmtId="0" fontId="10" fillId="48" borderId="56" xfId="0" applyFont="1" applyFill="1" applyBorder="1" applyAlignment="1">
      <alignment horizontal="center"/>
    </xf>
    <xf numFmtId="0" fontId="10" fillId="48" borderId="0" xfId="0" applyFont="1" applyFill="1" applyBorder="1" applyAlignment="1">
      <alignment horizontal="center"/>
    </xf>
    <xf numFmtId="0" fontId="80" fillId="53" borderId="0" xfId="0" quotePrefix="1" applyFont="1" applyFill="1" applyAlignment="1">
      <alignment horizontal="center" vertical="center"/>
    </xf>
    <xf numFmtId="0" fontId="90" fillId="48" borderId="0" xfId="0" applyFont="1" applyFill="1" applyBorder="1" applyAlignment="1">
      <alignment horizontal="center" vertical="center"/>
    </xf>
    <xf numFmtId="0" fontId="90" fillId="48" borderId="0" xfId="0" applyFont="1" applyFill="1" applyAlignment="1">
      <alignment horizontal="center" vertical="center"/>
    </xf>
    <xf numFmtId="0" fontId="44" fillId="48" borderId="20" xfId="0" quotePrefix="1" applyFont="1" applyFill="1" applyBorder="1" applyAlignment="1">
      <alignment horizontal="center" vertical="center"/>
    </xf>
    <xf numFmtId="0" fontId="44" fillId="48" borderId="4" xfId="0" quotePrefix="1" applyFont="1" applyFill="1" applyBorder="1" applyAlignment="1">
      <alignment horizontal="center" vertical="center"/>
    </xf>
    <xf numFmtId="0" fontId="57" fillId="53" borderId="0" xfId="0" quotePrefix="1" applyFont="1" applyFill="1" applyAlignment="1">
      <alignment horizontal="center" vertical="center"/>
    </xf>
    <xf numFmtId="0" fontId="90" fillId="48" borderId="56" xfId="0" applyFont="1" applyFill="1" applyBorder="1" applyAlignment="1">
      <alignment horizontal="center" vertical="center"/>
    </xf>
    <xf numFmtId="0" fontId="90" fillId="48" borderId="1" xfId="0" applyFont="1" applyFill="1" applyBorder="1" applyAlignment="1">
      <alignment horizontal="center" vertical="center"/>
    </xf>
    <xf numFmtId="0" fontId="90" fillId="48" borderId="20" xfId="0" quotePrefix="1" applyFont="1" applyFill="1" applyBorder="1" applyAlignment="1">
      <alignment horizontal="center" vertical="center"/>
    </xf>
    <xf numFmtId="0" fontId="90" fillId="48" borderId="4" xfId="0" quotePrefix="1" applyFont="1" applyFill="1" applyBorder="1" applyAlignment="1">
      <alignment horizontal="center" vertical="center"/>
    </xf>
    <xf numFmtId="1" fontId="10" fillId="8" borderId="56" xfId="0" applyNumberFormat="1" applyFont="1" applyFill="1" applyBorder="1" applyAlignment="1">
      <alignment horizontal="center" vertical="center"/>
    </xf>
    <xf numFmtId="1" fontId="10" fillId="8" borderId="0" xfId="0" applyNumberFormat="1" applyFont="1" applyFill="1" applyAlignment="1">
      <alignment horizontal="center" vertical="center"/>
    </xf>
    <xf numFmtId="0" fontId="9" fillId="10" borderId="56" xfId="0" applyFont="1" applyFill="1" applyBorder="1" applyAlignment="1">
      <alignment horizontal="center"/>
    </xf>
    <xf numFmtId="0" fontId="9" fillId="10" borderId="0" xfId="0" applyFont="1" applyFill="1" applyAlignment="1">
      <alignment horizontal="center"/>
    </xf>
    <xf numFmtId="0" fontId="90" fillId="8" borderId="2" xfId="0" quotePrefix="1" applyFont="1" applyFill="1" applyBorder="1" applyAlignment="1">
      <alignment horizontal="left" vertical="center"/>
    </xf>
    <xf numFmtId="0" fontId="90" fillId="8" borderId="26" xfId="0" quotePrefix="1" applyFont="1" applyFill="1" applyBorder="1" applyAlignment="1">
      <alignment horizontal="left" vertical="center"/>
    </xf>
    <xf numFmtId="0" fontId="90" fillId="8" borderId="25" xfId="0" quotePrefix="1" applyFont="1" applyFill="1" applyBorder="1" applyAlignment="1">
      <alignment horizontal="left" vertical="center"/>
    </xf>
    <xf numFmtId="0" fontId="54" fillId="8" borderId="2" xfId="0" quotePrefix="1" applyFont="1" applyFill="1" applyBorder="1" applyAlignment="1">
      <alignment horizontal="left" vertical="center"/>
    </xf>
    <xf numFmtId="0" fontId="54" fillId="8" borderId="26" xfId="0" quotePrefix="1" applyFont="1" applyFill="1" applyBorder="1" applyAlignment="1">
      <alignment horizontal="left" vertical="center"/>
    </xf>
    <xf numFmtId="0" fontId="22" fillId="0" borderId="17"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18" xfId="0" applyFont="1" applyBorder="1" applyAlignment="1">
      <alignment horizontal="center" vertical="center" wrapText="1"/>
    </xf>
    <xf numFmtId="10" fontId="22" fillId="0" borderId="17" xfId="0" applyNumberFormat="1" applyFont="1" applyBorder="1" applyAlignment="1">
      <alignment horizontal="center" vertical="center"/>
    </xf>
    <xf numFmtId="0" fontId="52" fillId="0" borderId="3" xfId="0" applyFont="1" applyBorder="1" applyAlignment="1">
      <alignment horizontal="center" vertical="center"/>
    </xf>
    <xf numFmtId="0" fontId="52" fillId="0" borderId="18" xfId="0" applyFont="1" applyBorder="1" applyAlignment="1">
      <alignment horizontal="center" vertical="center"/>
    </xf>
    <xf numFmtId="0" fontId="55"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90" fillId="8" borderId="2" xfId="0" quotePrefix="1" applyFont="1" applyFill="1" applyBorder="1" applyAlignment="1">
      <alignment horizontal="center" vertical="center"/>
    </xf>
    <xf numFmtId="0" fontId="90" fillId="8" borderId="26" xfId="0" quotePrefix="1" applyFont="1" applyFill="1" applyBorder="1" applyAlignment="1">
      <alignment horizontal="center" vertical="center"/>
    </xf>
    <xf numFmtId="0" fontId="44" fillId="8" borderId="2" xfId="0" quotePrefix="1" applyFont="1" applyFill="1" applyBorder="1" applyAlignment="1">
      <alignment horizontal="center" vertical="center"/>
    </xf>
    <xf numFmtId="0" fontId="44" fillId="8" borderId="26" xfId="0" quotePrefix="1" applyFont="1" applyFill="1" applyBorder="1" applyAlignment="1">
      <alignment horizontal="center" vertical="center"/>
    </xf>
    <xf numFmtId="0" fontId="22" fillId="2" borderId="1" xfId="0" applyFont="1" applyFill="1" applyBorder="1" applyAlignment="1">
      <alignment horizontal="center" vertical="center" wrapText="1"/>
    </xf>
    <xf numFmtId="0" fontId="22" fillId="2" borderId="17" xfId="0" applyFont="1" applyFill="1" applyBorder="1" applyAlignment="1">
      <alignment horizontal="center" vertical="center" wrapText="1"/>
    </xf>
    <xf numFmtId="0" fontId="22" fillId="2" borderId="3" xfId="0" applyFont="1" applyFill="1" applyBorder="1" applyAlignment="1">
      <alignment horizontal="center" vertical="center" wrapText="1"/>
    </xf>
    <xf numFmtId="10" fontId="22" fillId="2" borderId="17" xfId="0" applyNumberFormat="1" applyFont="1" applyFill="1" applyBorder="1" applyAlignment="1">
      <alignment horizontal="center" vertical="center"/>
    </xf>
    <xf numFmtId="10" fontId="22" fillId="2" borderId="3" xfId="0" applyNumberFormat="1" applyFont="1" applyFill="1" applyBorder="1" applyAlignment="1">
      <alignment horizontal="center" vertical="center"/>
    </xf>
    <xf numFmtId="0" fontId="10" fillId="8" borderId="2" xfId="0" quotePrefix="1" applyFont="1" applyFill="1" applyBorder="1" applyAlignment="1">
      <alignment horizontal="center" vertical="center"/>
    </xf>
    <xf numFmtId="0" fontId="10" fillId="8" borderId="26" xfId="0" quotePrefix="1" applyFont="1" applyFill="1" applyBorder="1" applyAlignment="1">
      <alignment horizontal="center" vertical="center"/>
    </xf>
    <xf numFmtId="0" fontId="44" fillId="8" borderId="1" xfId="0" applyFont="1" applyFill="1" applyBorder="1" applyAlignment="1">
      <alignment horizontal="center" vertical="center"/>
    </xf>
    <xf numFmtId="0" fontId="57" fillId="53" borderId="0" xfId="0" quotePrefix="1" applyFont="1" applyFill="1" applyAlignment="1">
      <alignment horizontal="center" vertical="top" wrapText="1"/>
    </xf>
    <xf numFmtId="0" fontId="57" fillId="0" borderId="0" xfId="0" quotePrefix="1" applyFont="1" applyAlignment="1">
      <alignment horizontal="center" vertical="center" wrapText="1"/>
    </xf>
    <xf numFmtId="0" fontId="22" fillId="2" borderId="11" xfId="0" applyFont="1" applyFill="1" applyBorder="1" applyAlignment="1">
      <alignment horizontal="center" vertical="center"/>
    </xf>
    <xf numFmtId="0" fontId="22" fillId="2" borderId="12" xfId="0" applyFont="1" applyFill="1" applyBorder="1" applyAlignment="1">
      <alignment horizontal="center" vertical="center"/>
    </xf>
    <xf numFmtId="0" fontId="22" fillId="2" borderId="49" xfId="0" applyFont="1" applyFill="1" applyBorder="1" applyAlignment="1">
      <alignment horizontal="center" vertical="center"/>
    </xf>
    <xf numFmtId="0" fontId="56" fillId="50" borderId="52" xfId="0" applyFont="1" applyFill="1" applyBorder="1" applyAlignment="1">
      <alignment horizontal="center" vertical="center"/>
    </xf>
    <xf numFmtId="0" fontId="56" fillId="50" borderId="24" xfId="0" applyFont="1" applyFill="1" applyBorder="1" applyAlignment="1">
      <alignment horizontal="center" vertical="center"/>
    </xf>
    <xf numFmtId="0" fontId="56" fillId="50" borderId="60" xfId="0" applyFont="1" applyFill="1" applyBorder="1" applyAlignment="1">
      <alignment horizontal="center" vertical="center"/>
    </xf>
    <xf numFmtId="0" fontId="22" fillId="2" borderId="58" xfId="0" applyFont="1" applyFill="1" applyBorder="1" applyAlignment="1">
      <alignment horizontal="center" vertical="center"/>
    </xf>
    <xf numFmtId="0" fontId="22" fillId="2" borderId="24" xfId="0" applyFont="1" applyFill="1" applyBorder="1" applyAlignment="1">
      <alignment horizontal="center" vertical="center"/>
    </xf>
    <xf numFmtId="0" fontId="22" fillId="2" borderId="59" xfId="0" applyFont="1" applyFill="1" applyBorder="1" applyAlignment="1">
      <alignment horizontal="center" vertical="center"/>
    </xf>
    <xf numFmtId="0" fontId="80" fillId="53" borderId="0" xfId="0" quotePrefix="1" applyFont="1" applyFill="1" applyAlignment="1">
      <alignment horizontal="center" vertical="center" wrapText="1"/>
    </xf>
    <xf numFmtId="0" fontId="57" fillId="53" borderId="0" xfId="0" quotePrefix="1" applyFont="1" applyFill="1" applyAlignment="1">
      <alignment horizontal="center" vertical="center" wrapText="1"/>
    </xf>
    <xf numFmtId="17" fontId="11" fillId="48" borderId="50" xfId="0" applyNumberFormat="1" applyFont="1" applyFill="1" applyBorder="1" applyAlignment="1">
      <alignment horizontal="center" vertical="center"/>
    </xf>
    <xf numFmtId="17" fontId="11" fillId="48" borderId="35" xfId="0" applyNumberFormat="1" applyFont="1" applyFill="1" applyBorder="1" applyAlignment="1">
      <alignment horizontal="center" vertical="center"/>
    </xf>
    <xf numFmtId="0" fontId="96" fillId="48" borderId="51" xfId="0" applyFont="1" applyFill="1" applyBorder="1" applyAlignment="1">
      <alignment vertical="center"/>
    </xf>
    <xf numFmtId="166" fontId="48" fillId="11" borderId="0" xfId="0" applyNumberFormat="1" applyFont="1" applyFill="1" applyAlignment="1">
      <alignment horizontal="left" vertical="center" indent="14"/>
    </xf>
    <xf numFmtId="17" fontId="11" fillId="48" borderId="24" xfId="0" applyNumberFormat="1" applyFont="1" applyFill="1" applyBorder="1" applyAlignment="1">
      <alignment horizontal="center" vertical="center"/>
    </xf>
    <xf numFmtId="17" fontId="11" fillId="48" borderId="0" xfId="0" applyNumberFormat="1" applyFont="1" applyFill="1" applyAlignment="1">
      <alignment horizontal="center" vertical="center"/>
    </xf>
    <xf numFmtId="0" fontId="22" fillId="2" borderId="17" xfId="0" applyFont="1" applyFill="1" applyBorder="1" applyAlignment="1">
      <alignment horizontal="center" vertical="center"/>
    </xf>
    <xf numFmtId="0" fontId="22" fillId="2" borderId="3" xfId="0" applyFont="1" applyFill="1" applyBorder="1" applyAlignment="1">
      <alignment horizontal="center" vertical="center"/>
    </xf>
    <xf numFmtId="17" fontId="11" fillId="48" borderId="24" xfId="0" applyNumberFormat="1" applyFont="1" applyFill="1" applyBorder="1" applyAlignment="1">
      <alignment horizontal="center"/>
    </xf>
    <xf numFmtId="17" fontId="11" fillId="48" borderId="0" xfId="0" applyNumberFormat="1" applyFont="1" applyFill="1" applyAlignment="1">
      <alignment horizontal="center"/>
    </xf>
    <xf numFmtId="17" fontId="11" fillId="48" borderId="50" xfId="0" applyNumberFormat="1" applyFont="1" applyFill="1" applyBorder="1" applyAlignment="1">
      <alignment horizontal="center"/>
    </xf>
    <xf numFmtId="17" fontId="11" fillId="48" borderId="35" xfId="0" applyNumberFormat="1" applyFont="1" applyFill="1" applyBorder="1" applyAlignment="1">
      <alignment horizontal="center"/>
    </xf>
    <xf numFmtId="0" fontId="96" fillId="48" borderId="51" xfId="0" applyFont="1" applyFill="1" applyBorder="1" applyAlignment="1"/>
    <xf numFmtId="0" fontId="56" fillId="50" borderId="61" xfId="0" applyFont="1" applyFill="1" applyBorder="1" applyAlignment="1">
      <alignment horizontal="center" vertical="center"/>
    </xf>
    <xf numFmtId="0" fontId="56" fillId="50" borderId="12" xfId="0" applyFont="1" applyFill="1" applyBorder="1" applyAlignment="1">
      <alignment horizontal="center" vertical="center"/>
    </xf>
    <xf numFmtId="0" fontId="56" fillId="50" borderId="13" xfId="0" applyFont="1" applyFill="1" applyBorder="1" applyAlignment="1">
      <alignment horizontal="center" vertical="center"/>
    </xf>
    <xf numFmtId="0" fontId="56" fillId="50" borderId="27" xfId="0" applyFont="1" applyFill="1" applyBorder="1" applyAlignment="1">
      <alignment horizontal="center" vertical="center"/>
    </xf>
    <xf numFmtId="0" fontId="56" fillId="50" borderId="53" xfId="0" applyFont="1" applyFill="1" applyBorder="1" applyAlignment="1">
      <alignment horizontal="center" vertical="center"/>
    </xf>
    <xf numFmtId="0" fontId="56" fillId="50" borderId="54" xfId="0" applyFont="1" applyFill="1" applyBorder="1" applyAlignment="1">
      <alignment horizontal="center" vertical="center"/>
    </xf>
    <xf numFmtId="0" fontId="44" fillId="48" borderId="56" xfId="0" applyFont="1" applyFill="1" applyBorder="1" applyAlignment="1">
      <alignment horizontal="center" vertical="center"/>
    </xf>
    <xf numFmtId="0" fontId="44" fillId="48" borderId="0" xfId="0" applyFont="1" applyFill="1" applyAlignment="1">
      <alignment horizontal="center" vertical="center"/>
    </xf>
    <xf numFmtId="0" fontId="44" fillId="48" borderId="56" xfId="0" applyFont="1" applyFill="1" applyBorder="1" applyAlignment="1">
      <alignment horizontal="center"/>
    </xf>
    <xf numFmtId="0" fontId="44" fillId="48" borderId="0" xfId="0" applyFont="1" applyFill="1" applyAlignment="1">
      <alignment horizontal="center"/>
    </xf>
    <xf numFmtId="0" fontId="97" fillId="48" borderId="0" xfId="0" applyFont="1" applyFill="1" applyAlignment="1">
      <alignment horizontal="center"/>
    </xf>
    <xf numFmtId="0" fontId="97" fillId="48" borderId="0" xfId="0" applyFont="1" applyFill="1" applyAlignment="1">
      <alignment horizontal="center" vertical="center"/>
    </xf>
    <xf numFmtId="0" fontId="11" fillId="48" borderId="2" xfId="0" applyFont="1" applyFill="1" applyBorder="1" applyAlignment="1">
      <alignment horizontal="center" vertical="center" wrapText="1"/>
    </xf>
    <xf numFmtId="0" fontId="11" fillId="48" borderId="26" xfId="0" applyFont="1" applyFill="1" applyBorder="1" applyAlignment="1">
      <alignment horizontal="center" vertical="center" wrapText="1"/>
    </xf>
    <xf numFmtId="0" fontId="11" fillId="48" borderId="25" xfId="0" applyFont="1" applyFill="1" applyBorder="1" applyAlignment="1">
      <alignment horizontal="center" vertical="center" wrapText="1"/>
    </xf>
    <xf numFmtId="0" fontId="58" fillId="47" borderId="2" xfId="0" applyFont="1" applyFill="1" applyBorder="1" applyAlignment="1">
      <alignment horizontal="center" vertical="center" wrapText="1"/>
    </xf>
    <xf numFmtId="0" fontId="55" fillId="47" borderId="26" xfId="0" applyFont="1" applyFill="1" applyBorder="1" applyAlignment="1">
      <alignment horizontal="center" vertical="center" wrapText="1"/>
    </xf>
    <xf numFmtId="0" fontId="55" fillId="47" borderId="25" xfId="0" applyFont="1" applyFill="1" applyBorder="1" applyAlignment="1">
      <alignment horizontal="center" vertical="center" wrapText="1"/>
    </xf>
    <xf numFmtId="0" fontId="58" fillId="47" borderId="26" xfId="0" applyFont="1" applyFill="1" applyBorder="1" applyAlignment="1">
      <alignment horizontal="center" vertical="center" wrapText="1"/>
    </xf>
    <xf numFmtId="0" fontId="58" fillId="47" borderId="25" xfId="0" applyFont="1" applyFill="1" applyBorder="1" applyAlignment="1">
      <alignment horizontal="center" vertical="center" wrapText="1"/>
    </xf>
    <xf numFmtId="0" fontId="61" fillId="48" borderId="2" xfId="0" applyFont="1" applyFill="1" applyBorder="1" applyAlignment="1">
      <alignment horizontal="center" vertical="center" wrapText="1"/>
    </xf>
    <xf numFmtId="0" fontId="61" fillId="48" borderId="26" xfId="0" applyFont="1" applyFill="1" applyBorder="1" applyAlignment="1">
      <alignment horizontal="center" vertical="center" wrapText="1"/>
    </xf>
    <xf numFmtId="0" fontId="61" fillId="48" borderId="25" xfId="0" applyFont="1" applyFill="1" applyBorder="1" applyAlignment="1">
      <alignment horizontal="center" vertical="center" wrapText="1"/>
    </xf>
    <xf numFmtId="0" fontId="83" fillId="48" borderId="26" xfId="0" applyFont="1" applyFill="1" applyBorder="1" applyAlignment="1">
      <alignment horizontal="center" vertical="center" wrapText="1"/>
    </xf>
    <xf numFmtId="0" fontId="83" fillId="48" borderId="25" xfId="0" applyFont="1" applyFill="1" applyBorder="1" applyAlignment="1">
      <alignment horizontal="center" vertical="center" wrapText="1"/>
    </xf>
    <xf numFmtId="0" fontId="98" fillId="48" borderId="26" xfId="0" applyFont="1" applyFill="1" applyBorder="1" applyAlignment="1">
      <alignment horizontal="center" vertical="center" wrapText="1"/>
    </xf>
    <xf numFmtId="0" fontId="98" fillId="48" borderId="25" xfId="0" applyFont="1" applyFill="1" applyBorder="1" applyAlignment="1">
      <alignment horizontal="center" vertical="center" wrapText="1"/>
    </xf>
    <xf numFmtId="166" fontId="4" fillId="11" borderId="0" xfId="0" applyNumberFormat="1" applyFont="1" applyFill="1" applyAlignment="1">
      <alignment horizontal="left" vertical="center" indent="14"/>
    </xf>
    <xf numFmtId="0" fontId="11" fillId="8" borderId="2" xfId="0" applyFont="1" applyFill="1" applyBorder="1" applyAlignment="1">
      <alignment horizontal="center" vertical="center" wrapText="1"/>
    </xf>
    <xf numFmtId="0" fontId="11" fillId="8" borderId="26" xfId="0" applyFont="1" applyFill="1" applyBorder="1" applyAlignment="1">
      <alignment horizontal="center" vertical="center" wrapText="1"/>
    </xf>
    <xf numFmtId="0" fontId="99" fillId="8" borderId="26" xfId="0" applyFont="1" applyFill="1" applyBorder="1" applyAlignment="1">
      <alignment horizontal="center" vertical="center" wrapText="1"/>
    </xf>
    <xf numFmtId="0" fontId="99" fillId="8"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5" fillId="2" borderId="0" xfId="0" applyFont="1" applyFill="1" applyAlignment="1">
      <alignment horizontal="center"/>
    </xf>
    <xf numFmtId="0" fontId="17" fillId="2" borderId="0" xfId="0" applyFont="1" applyFill="1" applyAlignment="1">
      <alignment horizontal="center"/>
    </xf>
    <xf numFmtId="0" fontId="84" fillId="53" borderId="0" xfId="0" quotePrefix="1" applyFont="1" applyFill="1" applyAlignment="1">
      <alignment horizontal="center" vertical="center" wrapText="1"/>
    </xf>
    <xf numFmtId="166" fontId="4" fillId="11" borderId="24" xfId="0" applyNumberFormat="1" applyFont="1" applyFill="1" applyBorder="1" applyAlignment="1">
      <alignment horizontal="center" vertical="center"/>
    </xf>
    <xf numFmtId="0" fontId="86" fillId="8" borderId="26" xfId="0" applyFont="1" applyFill="1" applyBorder="1" applyAlignment="1">
      <alignment horizontal="center" vertical="center" wrapText="1"/>
    </xf>
    <xf numFmtId="0" fontId="86" fillId="8" borderId="25" xfId="0" applyFont="1" applyFill="1" applyBorder="1" applyAlignment="1">
      <alignment horizontal="center" vertical="center" wrapText="1"/>
    </xf>
    <xf numFmtId="0" fontId="100" fillId="48" borderId="26" xfId="0" applyFont="1" applyFill="1" applyBorder="1" applyAlignment="1">
      <alignment horizontal="center" vertical="center" wrapText="1"/>
    </xf>
    <xf numFmtId="0" fontId="100" fillId="48" borderId="25" xfId="0" applyFont="1" applyFill="1" applyBorder="1" applyAlignment="1">
      <alignment horizontal="center" vertical="center" wrapText="1"/>
    </xf>
    <xf numFmtId="0" fontId="86" fillId="48" borderId="26" xfId="0" applyFont="1" applyFill="1" applyBorder="1" applyAlignment="1">
      <alignment horizontal="center" vertical="center" wrapText="1"/>
    </xf>
    <xf numFmtId="0" fontId="86" fillId="48" borderId="25" xfId="0" applyFont="1" applyFill="1" applyBorder="1" applyAlignment="1">
      <alignment horizontal="center" vertical="center" wrapText="1"/>
    </xf>
    <xf numFmtId="166" fontId="4" fillId="49" borderId="0" xfId="0" applyNumberFormat="1" applyFont="1" applyFill="1" applyAlignment="1">
      <alignment horizontal="center" vertical="center"/>
    </xf>
    <xf numFmtId="166" fontId="4" fillId="11" borderId="0" xfId="0" applyNumberFormat="1" applyFont="1" applyFill="1" applyAlignment="1">
      <alignment horizontal="left" vertical="center" indent="2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21" xfId="0" applyFont="1" applyFill="1" applyBorder="1" applyAlignment="1">
      <alignment horizontal="center"/>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84" fillId="0" borderId="0" xfId="0" quotePrefix="1" applyFont="1" applyAlignment="1">
      <alignment horizontal="center" vertical="center" wrapText="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22" fillId="0" borderId="1" xfId="0" applyFont="1" applyBorder="1" applyAlignment="1"/>
    <xf numFmtId="0" fontId="0" fillId="0" borderId="1" xfId="0" applyBorder="1" applyAlignment="1"/>
    <xf numFmtId="166" fontId="4" fillId="11" borderId="0" xfId="0" applyNumberFormat="1" applyFont="1" applyFill="1" applyAlignment="1">
      <alignment horizontal="left" vertical="center" indent="13"/>
    </xf>
    <xf numFmtId="0" fontId="10" fillId="48" borderId="4" xfId="0" applyFont="1" applyFill="1" applyBorder="1" applyAlignment="1">
      <alignment horizontal="center"/>
    </xf>
    <xf numFmtId="0" fontId="101" fillId="48" borderId="4" xfId="0" applyFont="1" applyFill="1" applyBorder="1" applyAlignment="1">
      <alignment horizontal="center"/>
    </xf>
    <xf numFmtId="0" fontId="102" fillId="0" borderId="20" xfId="0" applyFont="1" applyBorder="1" applyAlignment="1">
      <alignment horizontal="center" vertical="center" wrapText="1"/>
    </xf>
    <xf numFmtId="0" fontId="102" fillId="0" borderId="32" xfId="0" applyFont="1" applyBorder="1" applyAlignment="1">
      <alignment horizontal="center" vertical="center" wrapText="1"/>
    </xf>
    <xf numFmtId="0" fontId="58" fillId="50" borderId="1" xfId="0" applyFont="1" applyFill="1" applyBorder="1" applyAlignment="1">
      <alignment vertical="center" wrapText="1"/>
    </xf>
    <xf numFmtId="0" fontId="0" fillId="0" borderId="1" xfId="0" applyBorder="1" applyAlignment="1">
      <alignment wrapText="1"/>
    </xf>
    <xf numFmtId="0" fontId="14" fillId="10" borderId="1" xfId="0" applyFont="1" applyFill="1" applyBorder="1" applyAlignment="1">
      <alignment horizontal="center" vertical="center" wrapText="1"/>
    </xf>
    <xf numFmtId="1" fontId="56"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6" fillId="50" borderId="1" xfId="0" applyFont="1" applyFill="1" applyBorder="1" applyAlignment="1">
      <alignment wrapText="1"/>
    </xf>
    <xf numFmtId="0" fontId="9" fillId="10" borderId="56" xfId="0" applyFont="1" applyFill="1" applyBorder="1" applyAlignment="1">
      <alignment horizontal="center" vertical="center" wrapText="1"/>
    </xf>
    <xf numFmtId="0" fontId="102" fillId="0" borderId="0" xfId="0" applyFont="1" applyAlignment="1">
      <alignment horizontal="center" vertical="center" wrapText="1"/>
    </xf>
    <xf numFmtId="0" fontId="102" fillId="0" borderId="4" xfId="0" applyFont="1" applyBorder="1" applyAlignment="1">
      <alignment horizontal="center" vertical="center" wrapText="1"/>
    </xf>
    <xf numFmtId="0" fontId="94" fillId="48" borderId="4" xfId="0" applyFont="1" applyFill="1" applyBorder="1" applyAlignment="1">
      <alignment horizontal="center" wrapText="1"/>
    </xf>
    <xf numFmtId="0" fontId="14" fillId="10" borderId="1" xfId="0" applyFont="1" applyFill="1" applyBorder="1" applyAlignment="1">
      <alignment horizontal="center" vertical="center"/>
    </xf>
    <xf numFmtId="0" fontId="14" fillId="10" borderId="5" xfId="0" applyFont="1" applyFill="1" applyBorder="1" applyAlignment="1">
      <alignment horizontal="center" vertical="center"/>
    </xf>
    <xf numFmtId="0" fontId="14" fillId="10" borderId="6" xfId="0" applyFont="1" applyFill="1" applyBorder="1" applyAlignment="1">
      <alignment horizontal="center" vertical="center"/>
    </xf>
    <xf numFmtId="0" fontId="14" fillId="10" borderId="19" xfId="0" applyFont="1" applyFill="1" applyBorder="1" applyAlignment="1">
      <alignment horizontal="center" vertical="center"/>
    </xf>
    <xf numFmtId="0" fontId="87" fillId="54" borderId="5" xfId="0" applyFont="1" applyFill="1" applyBorder="1" applyAlignment="1">
      <alignment horizontal="center" vertical="center"/>
    </xf>
    <xf numFmtId="0" fontId="87" fillId="54" borderId="6" xfId="0" applyFont="1" applyFill="1" applyBorder="1" applyAlignment="1">
      <alignment horizontal="center" vertical="center"/>
    </xf>
    <xf numFmtId="0" fontId="87" fillId="54" borderId="19" xfId="0" applyFont="1" applyFill="1" applyBorder="1" applyAlignment="1">
      <alignment horizontal="center" vertical="center"/>
    </xf>
    <xf numFmtId="0" fontId="87" fillId="55" borderId="5" xfId="0" applyFont="1" applyFill="1" applyBorder="1" applyAlignment="1">
      <alignment horizontal="center" vertical="center"/>
    </xf>
    <xf numFmtId="0" fontId="87" fillId="55" borderId="6" xfId="0" applyFont="1" applyFill="1" applyBorder="1" applyAlignment="1">
      <alignment horizontal="center" vertical="center"/>
    </xf>
    <xf numFmtId="0" fontId="87" fillId="55" borderId="19" xfId="0" applyFont="1" applyFill="1" applyBorder="1" applyAlignment="1">
      <alignment horizontal="center" vertical="center"/>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3" fillId="9" borderId="0" xfId="0" applyFont="1" applyFill="1" applyAlignment="1">
      <alignment horizontal="left" vertical="center" indent="14"/>
    </xf>
    <xf numFmtId="0" fontId="44"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3" fillId="9" borderId="0" xfId="0" applyFont="1" applyFill="1" applyAlignment="1">
      <alignment horizontal="left" vertical="center" indent="13"/>
    </xf>
    <xf numFmtId="0" fontId="61"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8">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8" sqref="B8"/>
    </sheetView>
  </sheetViews>
  <sheetFormatPr defaultColWidth="8.85546875" defaultRowHeight="15" x14ac:dyDescent="0.25"/>
  <cols>
    <col min="1" max="1" width="3.140625" customWidth="1"/>
    <col min="2" max="2" width="77" customWidth="1"/>
    <col min="9" max="9" width="21.42578125" customWidth="1"/>
    <col min="10" max="10" width="9.42578125" bestFit="1" customWidth="1"/>
    <col min="15" max="15" width="66.28515625" customWidth="1"/>
    <col min="17" max="17" width="63.5703125" style="353" bestFit="1" customWidth="1"/>
    <col min="27" max="27" width="6.42578125" customWidth="1"/>
  </cols>
  <sheetData>
    <row r="1" spans="1:27" ht="45" customHeight="1" x14ac:dyDescent="0.25">
      <c r="B1" s="407" t="s">
        <v>0</v>
      </c>
      <c r="C1" s="407"/>
      <c r="D1" s="407"/>
      <c r="E1" s="407"/>
      <c r="F1" s="407"/>
      <c r="G1" s="407"/>
      <c r="H1" s="407"/>
      <c r="I1" s="407"/>
      <c r="J1" s="407"/>
      <c r="K1" s="407"/>
      <c r="L1" s="407"/>
      <c r="M1" s="407"/>
    </row>
    <row r="2" spans="1:27" x14ac:dyDescent="0.25">
      <c r="A2" s="9"/>
    </row>
    <row r="3" spans="1:27" ht="21.75" customHeight="1" x14ac:dyDescent="0.25">
      <c r="B3" s="361"/>
      <c r="C3" s="206"/>
      <c r="D3" s="206"/>
    </row>
    <row r="4" spans="1:27" ht="18" customHeight="1" x14ac:dyDescent="0.25">
      <c r="C4" s="205"/>
      <c r="D4" s="205"/>
      <c r="O4" s="351"/>
      <c r="P4" s="352"/>
      <c r="Q4" s="354"/>
      <c r="R4" s="352"/>
      <c r="S4" s="352"/>
      <c r="T4" s="352"/>
      <c r="U4" s="352"/>
      <c r="V4" s="352"/>
      <c r="W4" s="352"/>
      <c r="X4" s="352"/>
      <c r="Y4" s="352"/>
      <c r="Z4" s="352"/>
      <c r="AA4" s="352"/>
    </row>
    <row r="5" spans="1:27" ht="23.25" customHeight="1" x14ac:dyDescent="0.25">
      <c r="B5" s="362" t="s">
        <v>1351</v>
      </c>
      <c r="C5" s="205"/>
      <c r="D5" s="205"/>
      <c r="O5" s="363" t="s">
        <v>1350</v>
      </c>
      <c r="P5" s="352"/>
      <c r="Q5" s="354"/>
      <c r="R5" s="352"/>
      <c r="S5" s="352"/>
      <c r="T5" s="352"/>
      <c r="U5" s="352"/>
      <c r="V5" s="352"/>
      <c r="W5" s="352"/>
      <c r="X5" s="352"/>
      <c r="Y5" s="352"/>
      <c r="Z5" s="352"/>
      <c r="AA5" s="352"/>
    </row>
    <row r="6" spans="1:27" ht="18" customHeight="1" x14ac:dyDescent="0.3">
      <c r="B6" s="365" t="s">
        <v>3</v>
      </c>
      <c r="C6" s="205"/>
      <c r="D6" s="205"/>
      <c r="O6" s="366" t="s">
        <v>9</v>
      </c>
      <c r="P6" s="59"/>
      <c r="R6" s="59"/>
      <c r="S6" s="60"/>
    </row>
    <row r="7" spans="1:27" ht="18" customHeight="1" x14ac:dyDescent="0.25">
      <c r="B7" s="365" t="s">
        <v>1349</v>
      </c>
      <c r="C7" s="205"/>
      <c r="D7" s="205"/>
      <c r="O7" s="366" t="s">
        <v>10</v>
      </c>
      <c r="P7" s="352"/>
      <c r="R7" s="352"/>
      <c r="S7" s="352"/>
      <c r="T7" s="352"/>
      <c r="U7" s="352"/>
      <c r="V7" s="352"/>
      <c r="W7" s="352"/>
      <c r="X7" s="352"/>
      <c r="Y7" s="352"/>
      <c r="Z7" s="352"/>
      <c r="AA7" s="352"/>
    </row>
    <row r="8" spans="1:27" ht="18" customHeight="1" x14ac:dyDescent="0.3">
      <c r="B8" s="366" t="s">
        <v>1372</v>
      </c>
      <c r="C8" s="205"/>
      <c r="D8" s="205"/>
      <c r="O8" s="364"/>
      <c r="P8" s="59"/>
      <c r="R8" s="60"/>
    </row>
    <row r="9" spans="1:27" ht="18" customHeight="1" x14ac:dyDescent="0.25">
      <c r="B9" s="366" t="s">
        <v>5</v>
      </c>
      <c r="C9" s="205"/>
      <c r="D9" s="205"/>
      <c r="O9" s="363" t="s">
        <v>1352</v>
      </c>
      <c r="P9" s="352"/>
      <c r="R9" s="352"/>
      <c r="S9" s="352"/>
      <c r="T9" s="352"/>
      <c r="U9" s="352"/>
      <c r="V9" s="352"/>
      <c r="W9" s="352"/>
      <c r="X9" s="352"/>
      <c r="Y9" s="352"/>
      <c r="Z9" s="352"/>
      <c r="AA9" s="352"/>
    </row>
    <row r="10" spans="1:27" ht="17.25" customHeight="1" x14ac:dyDescent="0.3">
      <c r="B10" s="366" t="s">
        <v>6</v>
      </c>
      <c r="C10" s="205"/>
      <c r="D10" s="205"/>
      <c r="O10" s="366" t="s">
        <v>1355</v>
      </c>
      <c r="P10" s="59"/>
      <c r="Q10" s="355"/>
      <c r="R10" s="59"/>
      <c r="S10" s="60"/>
    </row>
    <row r="11" spans="1:27" ht="18" customHeight="1" x14ac:dyDescent="0.25">
      <c r="B11" s="366" t="s">
        <v>8</v>
      </c>
      <c r="O11" s="366" t="s">
        <v>4</v>
      </c>
      <c r="P11" s="210"/>
      <c r="Q11" s="356"/>
      <c r="R11" s="210"/>
      <c r="S11" s="210"/>
    </row>
    <row r="12" spans="1:27" ht="19.5" customHeight="1" x14ac:dyDescent="0.25">
      <c r="B12" s="366" t="s">
        <v>11</v>
      </c>
      <c r="O12" s="366" t="s">
        <v>7</v>
      </c>
      <c r="P12" s="209"/>
      <c r="Q12" s="357"/>
      <c r="R12" s="209"/>
      <c r="S12" s="209"/>
    </row>
    <row r="13" spans="1:27" ht="18" x14ac:dyDescent="0.25">
      <c r="B13" s="366" t="s">
        <v>12</v>
      </c>
      <c r="O13" s="366" t="s">
        <v>1354</v>
      </c>
      <c r="P13" s="210"/>
      <c r="Q13" s="356"/>
      <c r="R13" s="210"/>
      <c r="S13" s="210"/>
    </row>
    <row r="14" spans="1:27" ht="18" x14ac:dyDescent="0.25">
      <c r="B14" s="366" t="s">
        <v>13</v>
      </c>
      <c r="O14" s="364"/>
      <c r="P14" s="210"/>
      <c r="Q14" s="210"/>
      <c r="R14" s="210"/>
      <c r="S14" s="210"/>
      <c r="T14" s="210"/>
    </row>
    <row r="15" spans="1:27" ht="20.25" x14ac:dyDescent="0.25">
      <c r="B15" s="366" t="s">
        <v>14</v>
      </c>
      <c r="O15" s="363" t="s">
        <v>1353</v>
      </c>
      <c r="P15" s="210"/>
      <c r="Q15" s="210"/>
      <c r="R15" s="210"/>
      <c r="S15" s="210"/>
    </row>
    <row r="16" spans="1:27" ht="18" x14ac:dyDescent="0.25">
      <c r="B16" s="366" t="s">
        <v>15</v>
      </c>
      <c r="O16" s="366" t="s">
        <v>1</v>
      </c>
      <c r="P16" s="210"/>
      <c r="Q16" s="356"/>
      <c r="R16" s="210"/>
      <c r="S16" s="210"/>
    </row>
    <row r="17" spans="2:19" ht="18" x14ac:dyDescent="0.25">
      <c r="B17" s="366" t="s">
        <v>16</v>
      </c>
      <c r="O17" s="366" t="s">
        <v>2</v>
      </c>
      <c r="P17" s="210"/>
      <c r="Q17" s="356"/>
      <c r="R17" s="210"/>
      <c r="S17" s="210"/>
    </row>
    <row r="18" spans="2:19" ht="18" x14ac:dyDescent="0.25">
      <c r="B18" s="366" t="s">
        <v>1342</v>
      </c>
      <c r="P18" s="210"/>
      <c r="Q18" s="356"/>
      <c r="R18" s="210"/>
      <c r="S18" s="210"/>
    </row>
    <row r="19" spans="2:19" ht="18" x14ac:dyDescent="0.25">
      <c r="O19" s="350"/>
      <c r="P19" s="210"/>
      <c r="Q19" s="356"/>
      <c r="R19" s="210"/>
      <c r="S19" s="210"/>
    </row>
    <row r="20" spans="2:19" ht="18.75" x14ac:dyDescent="0.3">
      <c r="O20" s="60"/>
      <c r="P20" s="210"/>
      <c r="Q20" s="356"/>
      <c r="R20" s="210"/>
      <c r="S20" s="210"/>
    </row>
    <row r="21" spans="2:19" x14ac:dyDescent="0.25">
      <c r="O21" s="349"/>
    </row>
    <row r="22" spans="2:19" ht="18.75" x14ac:dyDescent="0.3">
      <c r="B22" s="404"/>
      <c r="O22" s="60"/>
      <c r="P22" s="350"/>
      <c r="Q22" s="358"/>
      <c r="R22" s="350"/>
      <c r="S22" s="350"/>
    </row>
    <row r="23" spans="2:19" ht="18.75" x14ac:dyDescent="0.3">
      <c r="O23" s="209"/>
      <c r="P23" s="60"/>
      <c r="Q23" s="359"/>
      <c r="R23" s="60"/>
      <c r="S23" s="60"/>
    </row>
    <row r="24" spans="2:19" ht="18.75" x14ac:dyDescent="0.3">
      <c r="O24" s="60"/>
      <c r="P24" s="349"/>
      <c r="Q24" s="360"/>
      <c r="R24" s="349"/>
      <c r="S24" s="349"/>
    </row>
    <row r="25" spans="2:19" ht="18.75" x14ac:dyDescent="0.3">
      <c r="P25" s="60"/>
      <c r="Q25" s="359"/>
      <c r="R25" s="60"/>
      <c r="S25" s="60"/>
    </row>
    <row r="26" spans="2:19" ht="18" x14ac:dyDescent="0.25">
      <c r="P26" s="209"/>
      <c r="Q26" s="357"/>
      <c r="R26" s="209"/>
      <c r="S26" s="209"/>
    </row>
    <row r="27" spans="2:19" ht="18.75" x14ac:dyDescent="0.3">
      <c r="P27" s="60"/>
      <c r="Q27" s="359"/>
      <c r="R27" s="60"/>
      <c r="S27" s="60"/>
    </row>
    <row r="33" spans="2:10" x14ac:dyDescent="0.25">
      <c r="J33" s="7"/>
    </row>
    <row r="41" spans="2:10" x14ac:dyDescent="0.25">
      <c r="C41" s="53"/>
    </row>
    <row r="46" spans="2:10" x14ac:dyDescent="0.2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topLeftCell="T1" zoomScaleNormal="100" workbookViewId="0">
      <selection activeCell="D21" sqref="D21"/>
    </sheetView>
  </sheetViews>
  <sheetFormatPr defaultColWidth="8.85546875" defaultRowHeight="15" x14ac:dyDescent="0.25"/>
  <cols>
    <col min="1" max="1" width="31.42578125" style="245" bestFit="1" customWidth="1"/>
    <col min="2" max="2" width="29.42578125" style="245" bestFit="1" customWidth="1"/>
    <col min="3" max="3" width="26.42578125" style="245" bestFit="1" customWidth="1"/>
    <col min="4" max="4" width="31.85546875" style="245" customWidth="1"/>
    <col min="5" max="5" width="51.140625" style="245" bestFit="1" customWidth="1"/>
    <col min="6" max="6" width="45.42578125" style="245" bestFit="1" customWidth="1"/>
    <col min="7" max="7" width="26.42578125" style="245" bestFit="1" customWidth="1"/>
    <col min="8" max="8" width="34.42578125" style="245" bestFit="1" customWidth="1"/>
    <col min="9" max="9" width="50.85546875" style="245" bestFit="1" customWidth="1"/>
    <col min="10" max="10" width="23.140625" style="245" bestFit="1" customWidth="1"/>
    <col min="11" max="11" width="31.42578125" style="245" bestFit="1" customWidth="1"/>
    <col min="12" max="12" width="53.42578125" style="245" customWidth="1"/>
    <col min="13" max="13" width="26.42578125" style="245" bestFit="1" customWidth="1"/>
    <col min="14" max="14" width="44.42578125" style="245" bestFit="1" customWidth="1"/>
    <col min="15" max="15" width="31.85546875" style="245" bestFit="1" customWidth="1"/>
    <col min="16" max="16" width="39.42578125" style="245" customWidth="1"/>
    <col min="17" max="17" width="33.42578125" style="245" bestFit="1" customWidth="1"/>
    <col min="18" max="18" width="55.140625" style="245" bestFit="1" customWidth="1"/>
    <col min="19" max="19" width="30.42578125" style="247" bestFit="1" customWidth="1"/>
    <col min="20" max="20" width="41.42578125" style="245" bestFit="1" customWidth="1"/>
    <col min="21" max="22" width="45.140625" style="245" customWidth="1"/>
    <col min="23" max="23" width="46.85546875" style="245" bestFit="1" customWidth="1"/>
    <col min="24" max="24" width="35.42578125" style="245" bestFit="1" customWidth="1"/>
    <col min="25" max="25" width="45.140625" style="245" bestFit="1" customWidth="1"/>
    <col min="26" max="16384" width="8.85546875" style="245"/>
  </cols>
  <sheetData>
    <row r="1" spans="1:25" s="251" customFormat="1" x14ac:dyDescent="0.25">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4" t="s">
        <v>18</v>
      </c>
      <c r="P1" s="335" t="s">
        <v>19</v>
      </c>
      <c r="Q1" s="320" t="s">
        <v>20</v>
      </c>
      <c r="R1" s="335" t="s">
        <v>21</v>
      </c>
      <c r="S1" s="336" t="s">
        <v>22</v>
      </c>
      <c r="T1" s="335" t="s">
        <v>23</v>
      </c>
      <c r="U1" s="320" t="s">
        <v>24</v>
      </c>
      <c r="V1" s="320" t="s">
        <v>25</v>
      </c>
      <c r="W1" s="306" t="s">
        <v>26</v>
      </c>
      <c r="X1" s="249" t="s">
        <v>27</v>
      </c>
      <c r="Y1" s="334" t="s">
        <v>28</v>
      </c>
    </row>
    <row r="2" spans="1:25" x14ac:dyDescent="0.25">
      <c r="A2" s="245" t="s">
        <v>29</v>
      </c>
      <c r="B2" s="245" t="s">
        <v>30</v>
      </c>
      <c r="C2" s="245" t="s">
        <v>31</v>
      </c>
      <c r="D2" s="245" t="s">
        <v>32</v>
      </c>
      <c r="E2" s="254" t="s">
        <v>1378</v>
      </c>
      <c r="F2" s="245" t="s">
        <v>34</v>
      </c>
      <c r="G2" s="245" t="s">
        <v>35</v>
      </c>
      <c r="H2" s="245" t="s">
        <v>36</v>
      </c>
      <c r="I2" s="245" t="s">
        <v>37</v>
      </c>
      <c r="J2" s="245" t="s">
        <v>38</v>
      </c>
      <c r="K2" s="245" t="s">
        <v>39</v>
      </c>
      <c r="L2" s="245" t="s">
        <v>62</v>
      </c>
      <c r="N2" s="342" t="s">
        <v>41</v>
      </c>
      <c r="O2" s="343" t="s">
        <v>42</v>
      </c>
      <c r="P2" s="342" t="s">
        <v>43</v>
      </c>
      <c r="Q2" s="343" t="s">
        <v>66</v>
      </c>
      <c r="R2" s="342" t="s">
        <v>45</v>
      </c>
      <c r="S2" s="345" t="s">
        <v>46</v>
      </c>
      <c r="T2" s="342" t="s">
        <v>47</v>
      </c>
      <c r="U2" s="348" t="s">
        <v>1231</v>
      </c>
      <c r="V2" s="346" t="s">
        <v>1314</v>
      </c>
      <c r="W2" s="342" t="s">
        <v>48</v>
      </c>
      <c r="X2" s="342" t="s">
        <v>49</v>
      </c>
      <c r="Y2" s="343" t="s">
        <v>50</v>
      </c>
    </row>
    <row r="3" spans="1:25" x14ac:dyDescent="0.25">
      <c r="A3" s="245" t="s">
        <v>51</v>
      </c>
      <c r="B3" s="245" t="s">
        <v>52</v>
      </c>
      <c r="C3" s="245" t="s">
        <v>53</v>
      </c>
      <c r="D3" s="245" t="s">
        <v>54</v>
      </c>
      <c r="E3" s="245" t="s">
        <v>33</v>
      </c>
      <c r="F3" s="245" t="s">
        <v>56</v>
      </c>
      <c r="G3" s="245" t="s">
        <v>57</v>
      </c>
      <c r="H3" s="245" t="s">
        <v>58</v>
      </c>
      <c r="I3" s="245" t="s">
        <v>59</v>
      </c>
      <c r="J3" s="245" t="s">
        <v>60</v>
      </c>
      <c r="K3" s="245" t="s">
        <v>61</v>
      </c>
      <c r="L3" s="245" t="s">
        <v>83</v>
      </c>
      <c r="N3" s="342" t="s">
        <v>63</v>
      </c>
      <c r="O3" s="343" t="s">
        <v>64</v>
      </c>
      <c r="P3" s="342" t="s">
        <v>65</v>
      </c>
      <c r="Q3" s="343" t="s">
        <v>87</v>
      </c>
      <c r="R3" s="342" t="s">
        <v>67</v>
      </c>
      <c r="S3" s="345" t="s">
        <v>68</v>
      </c>
      <c r="T3" s="342" t="s">
        <v>69</v>
      </c>
      <c r="U3" s="348" t="s">
        <v>1232</v>
      </c>
      <c r="V3" s="346" t="s">
        <v>1315</v>
      </c>
      <c r="W3" s="342" t="s">
        <v>91</v>
      </c>
      <c r="X3" s="342" t="s">
        <v>271</v>
      </c>
      <c r="Y3" s="343" t="s">
        <v>71</v>
      </c>
    </row>
    <row r="4" spans="1:25" x14ac:dyDescent="0.25">
      <c r="A4" s="245" t="s">
        <v>72</v>
      </c>
      <c r="B4" s="245" t="s">
        <v>73</v>
      </c>
      <c r="C4" s="245" t="s">
        <v>74</v>
      </c>
      <c r="D4" s="245" t="s">
        <v>75</v>
      </c>
      <c r="E4" s="245" t="s">
        <v>55</v>
      </c>
      <c r="F4" s="245" t="s">
        <v>77</v>
      </c>
      <c r="G4" s="245" t="s">
        <v>78</v>
      </c>
      <c r="H4" s="245" t="s">
        <v>79</v>
      </c>
      <c r="I4" s="245" t="s">
        <v>80</v>
      </c>
      <c r="J4" s="245" t="s">
        <v>81</v>
      </c>
      <c r="K4" s="245" t="s">
        <v>82</v>
      </c>
      <c r="L4" s="245" t="s">
        <v>105</v>
      </c>
      <c r="N4" s="342" t="s">
        <v>84</v>
      </c>
      <c r="O4" s="343" t="s">
        <v>85</v>
      </c>
      <c r="P4" s="342" t="s">
        <v>86</v>
      </c>
      <c r="Q4" s="343" t="s">
        <v>109</v>
      </c>
      <c r="R4" s="342" t="s">
        <v>88</v>
      </c>
      <c r="S4" s="343" t="s">
        <v>89</v>
      </c>
      <c r="T4" s="342" t="s">
        <v>90</v>
      </c>
      <c r="U4" s="348" t="s">
        <v>1233</v>
      </c>
      <c r="V4" s="346" t="s">
        <v>1316</v>
      </c>
      <c r="W4" s="342" t="s">
        <v>113</v>
      </c>
      <c r="X4" s="342" t="s">
        <v>286</v>
      </c>
      <c r="Y4" s="343" t="s">
        <v>93</v>
      </c>
    </row>
    <row r="5" spans="1:25" x14ac:dyDescent="0.25">
      <c r="A5" s="245" t="s">
        <v>94</v>
      </c>
      <c r="B5" s="245" t="s">
        <v>95</v>
      </c>
      <c r="C5" s="245" t="s">
        <v>96</v>
      </c>
      <c r="D5" s="245" t="s">
        <v>97</v>
      </c>
      <c r="E5" s="245" t="s">
        <v>76</v>
      </c>
      <c r="F5" s="245" t="s">
        <v>99</v>
      </c>
      <c r="G5" s="245" t="s">
        <v>100</v>
      </c>
      <c r="H5" s="245" t="s">
        <v>101</v>
      </c>
      <c r="I5" s="245" t="s">
        <v>102</v>
      </c>
      <c r="J5" s="245" t="s">
        <v>103</v>
      </c>
      <c r="K5" s="245" t="s">
        <v>104</v>
      </c>
      <c r="L5" s="245" t="s">
        <v>127</v>
      </c>
      <c r="N5" s="342" t="s">
        <v>106</v>
      </c>
      <c r="O5" s="343" t="s">
        <v>107</v>
      </c>
      <c r="P5" s="342" t="s">
        <v>108</v>
      </c>
      <c r="Q5" s="343" t="s">
        <v>131</v>
      </c>
      <c r="R5" s="342" t="s">
        <v>110</v>
      </c>
      <c r="S5" s="343" t="s">
        <v>111</v>
      </c>
      <c r="T5" s="342" t="s">
        <v>112</v>
      </c>
      <c r="U5" s="348" t="s">
        <v>1234</v>
      </c>
      <c r="V5" s="346" t="s">
        <v>1317</v>
      </c>
      <c r="W5" s="342" t="s">
        <v>134</v>
      </c>
      <c r="X5" s="342" t="s">
        <v>70</v>
      </c>
      <c r="Y5" s="406" t="s">
        <v>1375</v>
      </c>
    </row>
    <row r="6" spans="1:25" x14ac:dyDescent="0.25">
      <c r="A6" s="245" t="s">
        <v>116</v>
      </c>
      <c r="B6" s="245" t="s">
        <v>117</v>
      </c>
      <c r="C6" s="245" t="s">
        <v>118</v>
      </c>
      <c r="D6" s="245" t="s">
        <v>119</v>
      </c>
      <c r="E6" s="245" t="s">
        <v>98</v>
      </c>
      <c r="F6" s="245" t="s">
        <v>121</v>
      </c>
      <c r="G6" s="245" t="s">
        <v>122</v>
      </c>
      <c r="H6" s="245" t="s">
        <v>123</v>
      </c>
      <c r="I6" s="245" t="s">
        <v>124</v>
      </c>
      <c r="J6" s="245" t="s">
        <v>125</v>
      </c>
      <c r="K6" s="245" t="s">
        <v>126</v>
      </c>
      <c r="L6" s="245" t="s">
        <v>148</v>
      </c>
      <c r="N6" s="342" t="s">
        <v>128</v>
      </c>
      <c r="O6" s="343" t="s">
        <v>129</v>
      </c>
      <c r="P6" s="342" t="s">
        <v>130</v>
      </c>
      <c r="Q6" s="343" t="s">
        <v>152</v>
      </c>
      <c r="R6" s="342" t="s">
        <v>132</v>
      </c>
      <c r="S6" s="343" t="s">
        <v>1302</v>
      </c>
      <c r="T6" s="342" t="s">
        <v>133</v>
      </c>
      <c r="U6" s="348" t="s">
        <v>1235</v>
      </c>
      <c r="V6" s="346" t="s">
        <v>1318</v>
      </c>
      <c r="W6" s="342" t="s">
        <v>155</v>
      </c>
      <c r="X6" s="342" t="s">
        <v>92</v>
      </c>
      <c r="Y6" s="343" t="s">
        <v>115</v>
      </c>
    </row>
    <row r="7" spans="1:25" x14ac:dyDescent="0.25">
      <c r="A7" s="245" t="s">
        <v>137</v>
      </c>
      <c r="B7" s="245" t="s">
        <v>138</v>
      </c>
      <c r="C7" s="245" t="s">
        <v>139</v>
      </c>
      <c r="D7" s="245" t="s">
        <v>140</v>
      </c>
      <c r="E7" s="245" t="s">
        <v>120</v>
      </c>
      <c r="F7" s="245" t="s">
        <v>142</v>
      </c>
      <c r="G7" s="245" t="s">
        <v>143</v>
      </c>
      <c r="H7" s="245" t="s">
        <v>144</v>
      </c>
      <c r="I7" s="245" t="s">
        <v>145</v>
      </c>
      <c r="J7" s="245" t="s">
        <v>146</v>
      </c>
      <c r="K7" s="245" t="s">
        <v>147</v>
      </c>
      <c r="L7" s="245" t="s">
        <v>169</v>
      </c>
      <c r="N7" s="342" t="s">
        <v>149</v>
      </c>
      <c r="O7" s="343" t="s">
        <v>150</v>
      </c>
      <c r="P7" s="342" t="s">
        <v>151</v>
      </c>
      <c r="Q7" s="343" t="s">
        <v>173</v>
      </c>
      <c r="R7" s="342" t="s">
        <v>153</v>
      </c>
      <c r="S7" s="343" t="s">
        <v>1303</v>
      </c>
      <c r="T7" s="342" t="s">
        <v>154</v>
      </c>
      <c r="U7" s="348" t="s">
        <v>1236</v>
      </c>
      <c r="V7" s="346" t="s">
        <v>1319</v>
      </c>
      <c r="W7" s="342" t="s">
        <v>176</v>
      </c>
      <c r="X7" s="342" t="s">
        <v>114</v>
      </c>
      <c r="Y7" s="343" t="s">
        <v>136</v>
      </c>
    </row>
    <row r="8" spans="1:25" x14ac:dyDescent="0.25">
      <c r="A8" s="245" t="s">
        <v>158</v>
      </c>
      <c r="B8" s="245" t="s">
        <v>159</v>
      </c>
      <c r="C8" s="245" t="s">
        <v>160</v>
      </c>
      <c r="D8" s="245" t="s">
        <v>161</v>
      </c>
      <c r="E8" s="245" t="s">
        <v>141</v>
      </c>
      <c r="F8" s="245" t="s">
        <v>163</v>
      </c>
      <c r="G8" s="245" t="s">
        <v>164</v>
      </c>
      <c r="H8" s="245" t="s">
        <v>165</v>
      </c>
      <c r="I8" s="245" t="s">
        <v>166</v>
      </c>
      <c r="J8" s="245" t="s">
        <v>167</v>
      </c>
      <c r="K8" s="245" t="s">
        <v>168</v>
      </c>
      <c r="L8" s="245" t="s">
        <v>189</v>
      </c>
      <c r="N8" s="342" t="s">
        <v>170</v>
      </c>
      <c r="O8" s="343" t="s">
        <v>171</v>
      </c>
      <c r="P8" s="342" t="s">
        <v>172</v>
      </c>
      <c r="Q8" s="343" t="s">
        <v>193</v>
      </c>
      <c r="R8" s="342" t="s">
        <v>174</v>
      </c>
      <c r="S8" s="343" t="s">
        <v>1304</v>
      </c>
      <c r="T8" s="342" t="s">
        <v>175</v>
      </c>
      <c r="U8" s="348" t="s">
        <v>1237</v>
      </c>
      <c r="V8" s="343" t="s">
        <v>1312</v>
      </c>
      <c r="W8" s="342" t="s">
        <v>197</v>
      </c>
      <c r="X8" s="342" t="s">
        <v>135</v>
      </c>
      <c r="Y8" s="343" t="s">
        <v>157</v>
      </c>
    </row>
    <row r="9" spans="1:25" x14ac:dyDescent="0.25">
      <c r="A9" s="245" t="s">
        <v>179</v>
      </c>
      <c r="B9" s="245" t="s">
        <v>180</v>
      </c>
      <c r="C9" s="245" t="s">
        <v>181</v>
      </c>
      <c r="E9" s="245" t="s">
        <v>162</v>
      </c>
      <c r="F9" s="245" t="s">
        <v>183</v>
      </c>
      <c r="G9" s="245" t="s">
        <v>184</v>
      </c>
      <c r="H9" s="245" t="s">
        <v>185</v>
      </c>
      <c r="I9" s="245" t="s">
        <v>186</v>
      </c>
      <c r="J9" s="245" t="s">
        <v>187</v>
      </c>
      <c r="K9" s="245" t="s">
        <v>188</v>
      </c>
      <c r="L9" s="245" t="s">
        <v>208</v>
      </c>
      <c r="N9" s="342" t="s">
        <v>190</v>
      </c>
      <c r="O9" s="343" t="s">
        <v>191</v>
      </c>
      <c r="P9" s="342" t="s">
        <v>192</v>
      </c>
      <c r="Q9" s="343" t="s">
        <v>211</v>
      </c>
      <c r="R9" s="342" t="s">
        <v>194</v>
      </c>
      <c r="S9" s="343" t="s">
        <v>1305</v>
      </c>
      <c r="T9" s="342" t="s">
        <v>195</v>
      </c>
      <c r="U9" s="348" t="s">
        <v>1298</v>
      </c>
      <c r="V9" s="343" t="s">
        <v>1313</v>
      </c>
      <c r="W9" s="342" t="s">
        <v>215</v>
      </c>
      <c r="X9" s="342" t="s">
        <v>156</v>
      </c>
      <c r="Y9" s="343" t="s">
        <v>178</v>
      </c>
    </row>
    <row r="10" spans="1:25" x14ac:dyDescent="0.25">
      <c r="B10" s="245" t="s">
        <v>200</v>
      </c>
      <c r="C10" s="245" t="s">
        <v>201</v>
      </c>
      <c r="E10" s="245" t="s">
        <v>182</v>
      </c>
      <c r="F10" s="245" t="s">
        <v>203</v>
      </c>
      <c r="G10" s="245" t="s">
        <v>204</v>
      </c>
      <c r="H10" s="245" t="s">
        <v>205</v>
      </c>
      <c r="I10" s="245" t="s">
        <v>206</v>
      </c>
      <c r="K10" s="245" t="s">
        <v>224</v>
      </c>
      <c r="L10" s="245" t="s">
        <v>225</v>
      </c>
      <c r="N10" s="342" t="s">
        <v>226</v>
      </c>
      <c r="O10" s="343" t="s">
        <v>209</v>
      </c>
      <c r="P10" s="342" t="s">
        <v>210</v>
      </c>
      <c r="Q10" s="343" t="s">
        <v>229</v>
      </c>
      <c r="R10" s="342" t="s">
        <v>212</v>
      </c>
      <c r="S10" s="343" t="s">
        <v>1306</v>
      </c>
      <c r="T10" s="342" t="s">
        <v>213</v>
      </c>
      <c r="U10" s="348" t="s">
        <v>1299</v>
      </c>
      <c r="V10" s="343" t="s">
        <v>1320</v>
      </c>
      <c r="W10" s="342" t="s">
        <v>234</v>
      </c>
      <c r="X10" s="342" t="s">
        <v>177</v>
      </c>
      <c r="Y10" s="406" t="s">
        <v>1376</v>
      </c>
    </row>
    <row r="11" spans="1:25" x14ac:dyDescent="0.25">
      <c r="B11" s="245" t="s">
        <v>218</v>
      </c>
      <c r="C11" s="245" t="s">
        <v>219</v>
      </c>
      <c r="E11" s="245" t="s">
        <v>202</v>
      </c>
      <c r="F11" s="245" t="s">
        <v>221</v>
      </c>
      <c r="G11" s="245" t="s">
        <v>222</v>
      </c>
      <c r="I11" s="245" t="s">
        <v>223</v>
      </c>
      <c r="K11" s="245" t="s">
        <v>242</v>
      </c>
      <c r="L11" s="245" t="s">
        <v>243</v>
      </c>
      <c r="N11" s="342" t="s">
        <v>244</v>
      </c>
      <c r="O11" s="343" t="s">
        <v>227</v>
      </c>
      <c r="P11" s="342" t="s">
        <v>228</v>
      </c>
      <c r="Q11" s="343" t="s">
        <v>246</v>
      </c>
      <c r="R11" s="342" t="s">
        <v>230</v>
      </c>
      <c r="S11" s="343" t="s">
        <v>1307</v>
      </c>
      <c r="T11" s="342" t="s">
        <v>232</v>
      </c>
      <c r="U11" s="343" t="s">
        <v>196</v>
      </c>
      <c r="V11" s="343" t="s">
        <v>1321</v>
      </c>
      <c r="W11" s="342" t="s">
        <v>250</v>
      </c>
      <c r="X11" s="342" t="s">
        <v>198</v>
      </c>
      <c r="Y11" s="343" t="s">
        <v>199</v>
      </c>
    </row>
    <row r="12" spans="1:25" x14ac:dyDescent="0.25">
      <c r="B12" s="245" t="s">
        <v>236</v>
      </c>
      <c r="C12" s="245" t="s">
        <v>237</v>
      </c>
      <c r="E12" s="245" t="s">
        <v>220</v>
      </c>
      <c r="F12" s="245" t="s">
        <v>239</v>
      </c>
      <c r="G12" s="245" t="s">
        <v>240</v>
      </c>
      <c r="I12" s="245" t="s">
        <v>241</v>
      </c>
      <c r="K12" s="245" t="s">
        <v>258</v>
      </c>
      <c r="L12" s="245" t="s">
        <v>259</v>
      </c>
      <c r="N12" s="342" t="s">
        <v>260</v>
      </c>
      <c r="O12" s="343" t="s">
        <v>261</v>
      </c>
      <c r="P12" s="342" t="s">
        <v>245</v>
      </c>
      <c r="Q12" s="343" t="s">
        <v>263</v>
      </c>
      <c r="R12" s="342" t="s">
        <v>247</v>
      </c>
      <c r="S12" s="343" t="s">
        <v>1308</v>
      </c>
      <c r="T12" s="342" t="s">
        <v>248</v>
      </c>
      <c r="U12" s="343" t="s">
        <v>214</v>
      </c>
      <c r="V12" s="343" t="s">
        <v>1322</v>
      </c>
      <c r="W12" s="342" t="s">
        <v>267</v>
      </c>
      <c r="X12" s="342" t="s">
        <v>216</v>
      </c>
      <c r="Y12" s="343" t="s">
        <v>217</v>
      </c>
    </row>
    <row r="13" spans="1:25" x14ac:dyDescent="0.25">
      <c r="B13" s="245" t="s">
        <v>253</v>
      </c>
      <c r="C13" s="245" t="s">
        <v>254</v>
      </c>
      <c r="E13" s="245" t="s">
        <v>238</v>
      </c>
      <c r="G13" s="245" t="s">
        <v>256</v>
      </c>
      <c r="I13" s="245" t="s">
        <v>257</v>
      </c>
      <c r="K13" s="245" t="s">
        <v>271</v>
      </c>
      <c r="L13" s="245" t="s">
        <v>272</v>
      </c>
      <c r="N13" s="342" t="s">
        <v>273</v>
      </c>
      <c r="O13" s="343" t="s">
        <v>274</v>
      </c>
      <c r="P13" s="342" t="s">
        <v>262</v>
      </c>
      <c r="Q13" s="343" t="s">
        <v>276</v>
      </c>
      <c r="R13" s="342" t="s">
        <v>264</v>
      </c>
      <c r="S13" s="343" t="s">
        <v>1309</v>
      </c>
      <c r="T13" s="342" t="s">
        <v>265</v>
      </c>
      <c r="U13" s="343" t="s">
        <v>233</v>
      </c>
      <c r="V13" s="343" t="s">
        <v>1323</v>
      </c>
      <c r="W13" s="342" t="s">
        <v>281</v>
      </c>
      <c r="X13" s="342" t="s">
        <v>251</v>
      </c>
      <c r="Y13" s="343" t="s">
        <v>235</v>
      </c>
    </row>
    <row r="14" spans="1:25" x14ac:dyDescent="0.25">
      <c r="E14" s="245" t="s">
        <v>255</v>
      </c>
      <c r="G14" s="245" t="s">
        <v>270</v>
      </c>
      <c r="K14" s="245" t="s">
        <v>286</v>
      </c>
      <c r="L14" s="245" t="s">
        <v>287</v>
      </c>
      <c r="N14" s="342" t="s">
        <v>288</v>
      </c>
      <c r="O14" s="343" t="s">
        <v>289</v>
      </c>
      <c r="P14" s="342" t="s">
        <v>275</v>
      </c>
      <c r="Q14" s="343" t="s">
        <v>291</v>
      </c>
      <c r="R14" s="342" t="s">
        <v>277</v>
      </c>
      <c r="S14" s="343" t="s">
        <v>1310</v>
      </c>
      <c r="T14" s="342" t="s">
        <v>279</v>
      </c>
      <c r="U14" s="343" t="s">
        <v>249</v>
      </c>
      <c r="V14" s="343" t="s">
        <v>1324</v>
      </c>
      <c r="W14" s="342" t="s">
        <v>297</v>
      </c>
      <c r="X14" s="342" t="s">
        <v>104</v>
      </c>
      <c r="Y14" s="343" t="s">
        <v>252</v>
      </c>
    </row>
    <row r="15" spans="1:25" x14ac:dyDescent="0.25">
      <c r="E15" s="245" t="s">
        <v>269</v>
      </c>
      <c r="G15" s="245" t="s">
        <v>285</v>
      </c>
      <c r="K15" s="254" t="s">
        <v>1346</v>
      </c>
      <c r="L15" s="245" t="s">
        <v>302</v>
      </c>
      <c r="N15" s="342" t="s">
        <v>303</v>
      </c>
      <c r="O15" s="343" t="s">
        <v>317</v>
      </c>
      <c r="P15" s="342" t="s">
        <v>290</v>
      </c>
      <c r="Q15" s="343" t="s">
        <v>305</v>
      </c>
      <c r="R15" s="342" t="s">
        <v>292</v>
      </c>
      <c r="S15" s="343" t="s">
        <v>231</v>
      </c>
      <c r="T15" s="342" t="s">
        <v>294</v>
      </c>
      <c r="U15" s="343" t="s">
        <v>266</v>
      </c>
      <c r="V15" s="343" t="s">
        <v>1325</v>
      </c>
      <c r="W15" s="342" t="s">
        <v>310</v>
      </c>
      <c r="X15" s="342" t="s">
        <v>282</v>
      </c>
      <c r="Y15" s="343" t="s">
        <v>268</v>
      </c>
    </row>
    <row r="16" spans="1:25" x14ac:dyDescent="0.25">
      <c r="E16" s="245" t="s">
        <v>284</v>
      </c>
      <c r="G16" s="245" t="s">
        <v>301</v>
      </c>
      <c r="L16" s="245" t="s">
        <v>315</v>
      </c>
      <c r="N16" s="342" t="s">
        <v>316</v>
      </c>
      <c r="O16" s="343" t="s">
        <v>331</v>
      </c>
      <c r="P16" s="342" t="s">
        <v>304</v>
      </c>
      <c r="Q16" s="343" t="s">
        <v>319</v>
      </c>
      <c r="R16" s="342" t="s">
        <v>306</v>
      </c>
      <c r="S16" s="343" t="s">
        <v>278</v>
      </c>
      <c r="T16" s="342" t="s">
        <v>308</v>
      </c>
      <c r="U16" s="343" t="s">
        <v>280</v>
      </c>
      <c r="V16" s="343" t="s">
        <v>1326</v>
      </c>
      <c r="W16" s="342" t="s">
        <v>324</v>
      </c>
      <c r="X16" s="342" t="s">
        <v>298</v>
      </c>
      <c r="Y16" s="343" t="s">
        <v>283</v>
      </c>
    </row>
    <row r="17" spans="5:25" x14ac:dyDescent="0.25">
      <c r="E17" s="245" t="s">
        <v>300</v>
      </c>
      <c r="G17" s="245" t="s">
        <v>314</v>
      </c>
      <c r="L17" s="245" t="s">
        <v>329</v>
      </c>
      <c r="N17" s="342" t="s">
        <v>330</v>
      </c>
      <c r="O17" s="343" t="s">
        <v>344</v>
      </c>
      <c r="P17" s="342" t="s">
        <v>318</v>
      </c>
      <c r="Q17" s="343" t="s">
        <v>333</v>
      </c>
      <c r="R17" s="342" t="s">
        <v>320</v>
      </c>
      <c r="S17" s="343" t="s">
        <v>293</v>
      </c>
      <c r="T17" s="342" t="s">
        <v>322</v>
      </c>
      <c r="U17" s="343" t="s">
        <v>295</v>
      </c>
      <c r="V17" s="343" t="s">
        <v>1327</v>
      </c>
      <c r="W17" s="342" t="s">
        <v>338</v>
      </c>
      <c r="X17" s="342" t="s">
        <v>311</v>
      </c>
      <c r="Y17" s="343" t="s">
        <v>299</v>
      </c>
    </row>
    <row r="18" spans="5:25" x14ac:dyDescent="0.25">
      <c r="E18" s="245" t="s">
        <v>313</v>
      </c>
      <c r="G18" s="245" t="s">
        <v>328</v>
      </c>
      <c r="N18" s="342" t="s">
        <v>343</v>
      </c>
      <c r="O18" s="343" t="s">
        <v>357</v>
      </c>
      <c r="P18" s="342" t="s">
        <v>332</v>
      </c>
      <c r="Q18" s="343" t="s">
        <v>346</v>
      </c>
      <c r="R18" s="342" t="s">
        <v>334</v>
      </c>
      <c r="S18" s="343" t="s">
        <v>307</v>
      </c>
      <c r="T18" s="342" t="s">
        <v>336</v>
      </c>
      <c r="U18" s="343" t="s">
        <v>309</v>
      </c>
      <c r="V18" s="343" t="s">
        <v>1328</v>
      </c>
      <c r="W18" s="342" t="s">
        <v>351</v>
      </c>
      <c r="X18" s="342" t="s">
        <v>325</v>
      </c>
      <c r="Y18" s="343" t="s">
        <v>312</v>
      </c>
    </row>
    <row r="19" spans="5:25" x14ac:dyDescent="0.25">
      <c r="E19" s="245" t="s">
        <v>327</v>
      </c>
      <c r="G19" s="245" t="s">
        <v>342</v>
      </c>
      <c r="N19" s="342" t="s">
        <v>356</v>
      </c>
      <c r="O19" s="343" t="s">
        <v>368</v>
      </c>
      <c r="P19" s="342" t="s">
        <v>345</v>
      </c>
      <c r="Q19" s="343" t="s">
        <v>359</v>
      </c>
      <c r="R19" s="342" t="s">
        <v>347</v>
      </c>
      <c r="S19" s="343" t="s">
        <v>321</v>
      </c>
      <c r="T19" s="342" t="s">
        <v>349</v>
      </c>
      <c r="U19" s="343" t="s">
        <v>323</v>
      </c>
      <c r="V19" s="343" t="s">
        <v>1329</v>
      </c>
      <c r="W19" s="342" t="s">
        <v>363</v>
      </c>
      <c r="X19" s="342" t="s">
        <v>1296</v>
      </c>
      <c r="Y19" s="343" t="s">
        <v>326</v>
      </c>
    </row>
    <row r="20" spans="5:25" x14ac:dyDescent="0.25">
      <c r="E20" s="254" t="s">
        <v>1379</v>
      </c>
      <c r="G20" s="245" t="s">
        <v>355</v>
      </c>
      <c r="N20" s="342" t="s">
        <v>367</v>
      </c>
      <c r="O20" s="343" t="s">
        <v>397</v>
      </c>
      <c r="P20" s="342" t="s">
        <v>358</v>
      </c>
      <c r="Q20" s="343" t="s">
        <v>370</v>
      </c>
      <c r="R20" s="342" t="s">
        <v>360</v>
      </c>
      <c r="S20" s="343" t="s">
        <v>335</v>
      </c>
      <c r="T20" s="342" t="s">
        <v>362</v>
      </c>
      <c r="U20" s="343" t="s">
        <v>337</v>
      </c>
      <c r="V20" s="343" t="s">
        <v>1330</v>
      </c>
      <c r="W20" s="342" t="s">
        <v>374</v>
      </c>
      <c r="X20" s="342" t="s">
        <v>339</v>
      </c>
      <c r="Y20" s="343" t="s">
        <v>340</v>
      </c>
    </row>
    <row r="21" spans="5:25" x14ac:dyDescent="0.25">
      <c r="E21" s="245" t="s">
        <v>341</v>
      </c>
      <c r="N21" s="342" t="s">
        <v>378</v>
      </c>
      <c r="O21" s="343" t="s">
        <v>408</v>
      </c>
      <c r="P21" s="342" t="s">
        <v>369</v>
      </c>
      <c r="Q21" s="343" t="s">
        <v>44</v>
      </c>
      <c r="R21" s="342" t="s">
        <v>371</v>
      </c>
      <c r="S21" s="343" t="s">
        <v>348</v>
      </c>
      <c r="T21" s="342" t="s">
        <v>373</v>
      </c>
      <c r="U21" s="343" t="s">
        <v>350</v>
      </c>
      <c r="V21" s="343" t="s">
        <v>1331</v>
      </c>
      <c r="W21" s="342" t="s">
        <v>383</v>
      </c>
      <c r="X21" s="342" t="s">
        <v>352</v>
      </c>
      <c r="Y21" s="343" t="s">
        <v>353</v>
      </c>
    </row>
    <row r="22" spans="5:25" x14ac:dyDescent="0.25">
      <c r="E22" s="245" t="s">
        <v>354</v>
      </c>
      <c r="N22" s="342" t="s">
        <v>387</v>
      </c>
      <c r="O22" s="343" t="s">
        <v>418</v>
      </c>
      <c r="P22" s="342" t="s">
        <v>379</v>
      </c>
      <c r="Q22" s="343" t="s">
        <v>399</v>
      </c>
      <c r="R22" s="342" t="s">
        <v>380</v>
      </c>
      <c r="S22" s="343" t="s">
        <v>361</v>
      </c>
      <c r="T22" s="342" t="s">
        <v>382</v>
      </c>
      <c r="U22" s="348" t="s">
        <v>1238</v>
      </c>
      <c r="V22" s="343" t="s">
        <v>1332</v>
      </c>
      <c r="W22" s="342" t="s">
        <v>392</v>
      </c>
      <c r="X22" s="342" t="s">
        <v>364</v>
      </c>
      <c r="Y22" s="343" t="s">
        <v>365</v>
      </c>
    </row>
    <row r="23" spans="5:25" x14ac:dyDescent="0.25">
      <c r="E23" s="245" t="s">
        <v>366</v>
      </c>
      <c r="N23" s="342" t="s">
        <v>396</v>
      </c>
      <c r="O23" s="343" t="s">
        <v>429</v>
      </c>
      <c r="P23" s="342" t="s">
        <v>388</v>
      </c>
      <c r="Q23" s="343" t="s">
        <v>410</v>
      </c>
      <c r="R23" s="342" t="s">
        <v>389</v>
      </c>
      <c r="S23" s="343" t="s">
        <v>372</v>
      </c>
      <c r="T23" s="342" t="s">
        <v>391</v>
      </c>
      <c r="U23" s="348" t="s">
        <v>1239</v>
      </c>
      <c r="V23" s="343" t="s">
        <v>1333</v>
      </c>
      <c r="W23" s="342" t="s">
        <v>403</v>
      </c>
      <c r="X23" s="342" t="s">
        <v>375</v>
      </c>
      <c r="Y23" s="343" t="s">
        <v>376</v>
      </c>
    </row>
    <row r="24" spans="5:25" x14ac:dyDescent="0.25">
      <c r="E24" s="245" t="s">
        <v>377</v>
      </c>
      <c r="N24" s="342" t="s">
        <v>407</v>
      </c>
      <c r="O24" s="343" t="s">
        <v>439</v>
      </c>
      <c r="P24" s="254" t="s">
        <v>1347</v>
      </c>
      <c r="Q24" s="343" t="s">
        <v>420</v>
      </c>
      <c r="R24" s="342" t="s">
        <v>400</v>
      </c>
      <c r="S24" s="343" t="s">
        <v>381</v>
      </c>
      <c r="T24" s="342" t="s">
        <v>402</v>
      </c>
      <c r="U24" s="348" t="s">
        <v>1240</v>
      </c>
      <c r="V24" s="343" t="s">
        <v>1334</v>
      </c>
      <c r="W24" s="342" t="s">
        <v>414</v>
      </c>
      <c r="X24" s="342" t="s">
        <v>384</v>
      </c>
      <c r="Y24" s="343" t="s">
        <v>385</v>
      </c>
    </row>
    <row r="25" spans="5:25" x14ac:dyDescent="0.25">
      <c r="E25" s="245" t="s">
        <v>386</v>
      </c>
      <c r="N25" s="342" t="s">
        <v>417</v>
      </c>
      <c r="O25" s="343" t="s">
        <v>449</v>
      </c>
      <c r="P25" s="342" t="s">
        <v>398</v>
      </c>
      <c r="Q25" s="343" t="s">
        <v>431</v>
      </c>
      <c r="R25" s="342" t="s">
        <v>411</v>
      </c>
      <c r="S25" s="343" t="s">
        <v>390</v>
      </c>
      <c r="T25" s="342" t="s">
        <v>413</v>
      </c>
      <c r="U25" s="348" t="s">
        <v>1241</v>
      </c>
      <c r="V25" s="343" t="s">
        <v>1335</v>
      </c>
      <c r="W25" s="342" t="s">
        <v>425</v>
      </c>
      <c r="X25" s="342" t="s">
        <v>393</v>
      </c>
      <c r="Y25" s="343" t="s">
        <v>394</v>
      </c>
    </row>
    <row r="26" spans="5:25" x14ac:dyDescent="0.25">
      <c r="E26" s="245" t="s">
        <v>395</v>
      </c>
      <c r="N26" s="342" t="s">
        <v>428</v>
      </c>
      <c r="O26" s="343" t="s">
        <v>459</v>
      </c>
      <c r="P26" s="342" t="s">
        <v>409</v>
      </c>
      <c r="Q26" s="343" t="s">
        <v>441</v>
      </c>
      <c r="R26" s="342" t="s">
        <v>421</v>
      </c>
      <c r="S26" s="343" t="s">
        <v>401</v>
      </c>
      <c r="T26" s="342" t="s">
        <v>423</v>
      </c>
      <c r="U26" s="348" t="s">
        <v>1242</v>
      </c>
      <c r="V26" s="343" t="s">
        <v>1336</v>
      </c>
      <c r="W26" s="342" t="s">
        <v>435</v>
      </c>
      <c r="X26" s="342" t="s">
        <v>404</v>
      </c>
      <c r="Y26" s="343" t="s">
        <v>405</v>
      </c>
    </row>
    <row r="27" spans="5:25" x14ac:dyDescent="0.25">
      <c r="E27" s="245" t="s">
        <v>406</v>
      </c>
      <c r="N27" s="342" t="s">
        <v>438</v>
      </c>
      <c r="O27" s="343" t="s">
        <v>479</v>
      </c>
      <c r="P27" s="342" t="s">
        <v>419</v>
      </c>
      <c r="Q27" s="343" t="s">
        <v>451</v>
      </c>
      <c r="R27" s="342" t="s">
        <v>432</v>
      </c>
      <c r="S27" s="343" t="s">
        <v>412</v>
      </c>
      <c r="T27" s="342" t="s">
        <v>434</v>
      </c>
      <c r="U27" s="348" t="s">
        <v>1243</v>
      </c>
      <c r="V27" s="343" t="s">
        <v>1337</v>
      </c>
      <c r="W27" s="342" t="s">
        <v>445</v>
      </c>
      <c r="X27" s="342" t="s">
        <v>415</v>
      </c>
      <c r="Y27" s="343" t="s">
        <v>416</v>
      </c>
    </row>
    <row r="28" spans="5:25" x14ac:dyDescent="0.25">
      <c r="N28" s="342" t="s">
        <v>448</v>
      </c>
      <c r="O28" s="343" t="s">
        <v>497</v>
      </c>
      <c r="P28" s="342" t="s">
        <v>430</v>
      </c>
      <c r="Q28" s="343" t="s">
        <v>461</v>
      </c>
      <c r="R28" s="342" t="s">
        <v>442</v>
      </c>
      <c r="S28" s="343" t="s">
        <v>422</v>
      </c>
      <c r="T28" s="342" t="s">
        <v>444</v>
      </c>
      <c r="U28" s="348" t="s">
        <v>1244</v>
      </c>
      <c r="V28" s="343" t="s">
        <v>1338</v>
      </c>
      <c r="W28" s="342" t="s">
        <v>455</v>
      </c>
      <c r="X28" s="342" t="s">
        <v>426</v>
      </c>
      <c r="Y28" s="343" t="s">
        <v>427</v>
      </c>
    </row>
    <row r="29" spans="5:25" x14ac:dyDescent="0.25">
      <c r="N29" s="342" t="s">
        <v>458</v>
      </c>
      <c r="O29" s="343" t="s">
        <v>506</v>
      </c>
      <c r="P29" s="342" t="s">
        <v>440</v>
      </c>
      <c r="Q29" s="343" t="s">
        <v>470</v>
      </c>
      <c r="R29" s="342" t="s">
        <v>452</v>
      </c>
      <c r="S29" s="343" t="s">
        <v>433</v>
      </c>
      <c r="T29" s="342" t="s">
        <v>454</v>
      </c>
      <c r="U29" s="348" t="s">
        <v>1245</v>
      </c>
      <c r="V29" s="343" t="s">
        <v>1339</v>
      </c>
      <c r="W29" s="342" t="s">
        <v>465</v>
      </c>
      <c r="X29" s="342" t="s">
        <v>436</v>
      </c>
      <c r="Y29" s="343" t="s">
        <v>437</v>
      </c>
    </row>
    <row r="30" spans="5:25" x14ac:dyDescent="0.25">
      <c r="N30" s="342" t="s">
        <v>468</v>
      </c>
      <c r="O30" s="343" t="s">
        <v>516</v>
      </c>
      <c r="P30" s="342" t="s">
        <v>450</v>
      </c>
      <c r="Q30" s="343" t="s">
        <v>481</v>
      </c>
      <c r="R30" s="342" t="s">
        <v>462</v>
      </c>
      <c r="S30" s="343" t="s">
        <v>443</v>
      </c>
      <c r="T30" s="342" t="s">
        <v>464</v>
      </c>
      <c r="U30" s="343" t="s">
        <v>424</v>
      </c>
      <c r="V30" s="343" t="s">
        <v>1340</v>
      </c>
      <c r="W30" s="342" t="s">
        <v>475</v>
      </c>
      <c r="X30" s="342" t="s">
        <v>446</v>
      </c>
      <c r="Y30" s="343" t="s">
        <v>447</v>
      </c>
    </row>
    <row r="31" spans="5:25" x14ac:dyDescent="0.25">
      <c r="N31" s="342" t="s">
        <v>478</v>
      </c>
      <c r="O31" s="343" t="s">
        <v>523</v>
      </c>
      <c r="P31" s="342" t="s">
        <v>460</v>
      </c>
      <c r="Q31" s="343" t="s">
        <v>490</v>
      </c>
      <c r="R31" s="342" t="s">
        <v>471</v>
      </c>
      <c r="S31" s="343" t="s">
        <v>453</v>
      </c>
      <c r="T31" s="342" t="s">
        <v>473</v>
      </c>
      <c r="U31" s="343" t="s">
        <v>512</v>
      </c>
      <c r="V31" s="343" t="s">
        <v>296</v>
      </c>
      <c r="W31" s="342" t="s">
        <v>485</v>
      </c>
      <c r="X31" s="342" t="s">
        <v>456</v>
      </c>
      <c r="Y31" s="343" t="s">
        <v>457</v>
      </c>
    </row>
    <row r="32" spans="5:25" x14ac:dyDescent="0.25">
      <c r="N32" s="342" t="s">
        <v>488</v>
      </c>
      <c r="O32" s="343" t="s">
        <v>533</v>
      </c>
      <c r="P32" s="342" t="s">
        <v>469</v>
      </c>
      <c r="Q32" s="343" t="s">
        <v>499</v>
      </c>
      <c r="R32" s="342" t="s">
        <v>482</v>
      </c>
      <c r="S32" s="343" t="s">
        <v>463</v>
      </c>
      <c r="T32" s="342" t="s">
        <v>484</v>
      </c>
      <c r="U32" s="348" t="s">
        <v>1246</v>
      </c>
      <c r="V32" s="343" t="s">
        <v>474</v>
      </c>
      <c r="W32" s="342" t="s">
        <v>493</v>
      </c>
      <c r="X32" s="342" t="s">
        <v>466</v>
      </c>
      <c r="Y32" s="343" t="s">
        <v>467</v>
      </c>
    </row>
    <row r="33" spans="14:25" x14ac:dyDescent="0.25">
      <c r="N33" s="342" t="s">
        <v>496</v>
      </c>
      <c r="O33" s="343" t="s">
        <v>541</v>
      </c>
      <c r="P33" s="342" t="s">
        <v>480</v>
      </c>
      <c r="Q33" s="343" t="s">
        <v>508</v>
      </c>
      <c r="R33" s="342" t="s">
        <v>491</v>
      </c>
      <c r="S33" s="343" t="s">
        <v>472</v>
      </c>
      <c r="T33" s="342" t="s">
        <v>492</v>
      </c>
      <c r="U33" s="348" t="s">
        <v>1247</v>
      </c>
      <c r="V33" s="343" t="s">
        <v>1311</v>
      </c>
      <c r="W33" s="342" t="s">
        <v>503</v>
      </c>
      <c r="X33" s="342" t="s">
        <v>476</v>
      </c>
      <c r="Y33" s="343" t="s">
        <v>477</v>
      </c>
    </row>
    <row r="34" spans="14:25" x14ac:dyDescent="0.25">
      <c r="N34" s="342" t="s">
        <v>505</v>
      </c>
      <c r="O34" s="343" t="s">
        <v>549</v>
      </c>
      <c r="P34" s="342" t="s">
        <v>489</v>
      </c>
      <c r="Q34" s="343" t="s">
        <v>1277</v>
      </c>
      <c r="R34" s="342" t="s">
        <v>500</v>
      </c>
      <c r="S34" s="343" t="s">
        <v>483</v>
      </c>
      <c r="T34" s="342" t="s">
        <v>502</v>
      </c>
      <c r="U34" s="348" t="s">
        <v>1248</v>
      </c>
      <c r="W34" s="342" t="s">
        <v>513</v>
      </c>
      <c r="X34" s="342" t="s">
        <v>486</v>
      </c>
      <c r="Y34" s="343" t="s">
        <v>487</v>
      </c>
    </row>
    <row r="35" spans="14:25" x14ac:dyDescent="0.25">
      <c r="N35" s="342" t="s">
        <v>515</v>
      </c>
      <c r="O35" s="343" t="s">
        <v>557</v>
      </c>
      <c r="P35" s="342" t="s">
        <v>498</v>
      </c>
      <c r="R35" s="342" t="s">
        <v>509</v>
      </c>
      <c r="S35" s="343" t="s">
        <v>501</v>
      </c>
      <c r="T35" s="342" t="s">
        <v>511</v>
      </c>
      <c r="U35" s="348" t="s">
        <v>1249</v>
      </c>
      <c r="W35" s="342" t="s">
        <v>520</v>
      </c>
      <c r="X35" s="342" t="s">
        <v>494</v>
      </c>
      <c r="Y35" s="343" t="s">
        <v>495</v>
      </c>
    </row>
    <row r="36" spans="14:25" x14ac:dyDescent="0.25">
      <c r="N36" s="342" t="s">
        <v>522</v>
      </c>
      <c r="O36" s="343" t="s">
        <v>566</v>
      </c>
      <c r="P36" s="342" t="s">
        <v>507</v>
      </c>
      <c r="R36" s="344" t="s">
        <v>1300</v>
      </c>
      <c r="S36" s="343" t="s">
        <v>510</v>
      </c>
      <c r="T36" s="342" t="s">
        <v>519</v>
      </c>
      <c r="U36" s="348" t="s">
        <v>1250</v>
      </c>
      <c r="W36" s="342" t="s">
        <v>529</v>
      </c>
      <c r="X36" s="342" t="s">
        <v>504</v>
      </c>
      <c r="Y36" s="370" t="s">
        <v>1369</v>
      </c>
    </row>
    <row r="37" spans="14:25" x14ac:dyDescent="0.25">
      <c r="N37" s="342" t="s">
        <v>532</v>
      </c>
      <c r="P37" s="342" t="s">
        <v>517</v>
      </c>
      <c r="R37" s="342" t="s">
        <v>518</v>
      </c>
      <c r="S37" s="343" t="s">
        <v>526</v>
      </c>
      <c r="T37" s="342" t="s">
        <v>527</v>
      </c>
      <c r="U37" s="348" t="s">
        <v>1251</v>
      </c>
      <c r="W37" s="342" t="s">
        <v>546</v>
      </c>
      <c r="X37" s="342" t="s">
        <v>514</v>
      </c>
      <c r="Y37" s="370" t="s">
        <v>1365</v>
      </c>
    </row>
    <row r="38" spans="14:25" x14ac:dyDescent="0.25">
      <c r="N38" s="342" t="s">
        <v>540</v>
      </c>
      <c r="P38" s="342" t="s">
        <v>524</v>
      </c>
      <c r="R38" s="342" t="s">
        <v>525</v>
      </c>
      <c r="S38" s="343" t="s">
        <v>536</v>
      </c>
      <c r="T38" s="342" t="s">
        <v>537</v>
      </c>
      <c r="U38" s="348" t="s">
        <v>1252</v>
      </c>
      <c r="W38" s="342" t="s">
        <v>554</v>
      </c>
      <c r="X38" s="342" t="s">
        <v>521</v>
      </c>
      <c r="Y38" s="370" t="s">
        <v>1366</v>
      </c>
    </row>
    <row r="39" spans="14:25" x14ac:dyDescent="0.25">
      <c r="N39" s="342" t="s">
        <v>548</v>
      </c>
      <c r="P39" s="342" t="s">
        <v>534</v>
      </c>
      <c r="R39" s="342" t="s">
        <v>535</v>
      </c>
      <c r="S39" s="343" t="s">
        <v>544</v>
      </c>
      <c r="T39" s="342" t="s">
        <v>545</v>
      </c>
      <c r="U39" s="343" t="s">
        <v>528</v>
      </c>
      <c r="W39" s="342" t="s">
        <v>562</v>
      </c>
      <c r="X39" s="342" t="s">
        <v>530</v>
      </c>
      <c r="Y39" s="370" t="s">
        <v>1367</v>
      </c>
    </row>
    <row r="40" spans="14:25" x14ac:dyDescent="0.25">
      <c r="N40" s="342" t="s">
        <v>556</v>
      </c>
      <c r="P40" s="342" t="s">
        <v>542</v>
      </c>
      <c r="R40" s="342" t="s">
        <v>543</v>
      </c>
      <c r="S40" s="343" t="s">
        <v>552</v>
      </c>
      <c r="T40" s="342" t="s">
        <v>553</v>
      </c>
      <c r="U40" s="348" t="s">
        <v>1253</v>
      </c>
      <c r="W40" s="342" t="s">
        <v>571</v>
      </c>
      <c r="X40" s="342" t="s">
        <v>538</v>
      </c>
      <c r="Y40" s="370" t="s">
        <v>1368</v>
      </c>
    </row>
    <row r="41" spans="14:25" x14ac:dyDescent="0.25">
      <c r="N41" s="342" t="s">
        <v>565</v>
      </c>
      <c r="P41" s="342" t="s">
        <v>550</v>
      </c>
      <c r="R41" s="342" t="s">
        <v>551</v>
      </c>
      <c r="S41" s="343" t="s">
        <v>560</v>
      </c>
      <c r="T41" s="342" t="s">
        <v>561</v>
      </c>
      <c r="U41" s="348" t="s">
        <v>1254</v>
      </c>
      <c r="W41" s="342" t="s">
        <v>579</v>
      </c>
      <c r="X41" s="342" t="s">
        <v>555</v>
      </c>
      <c r="Y41" s="254" t="s">
        <v>1363</v>
      </c>
    </row>
    <row r="42" spans="14:25" x14ac:dyDescent="0.25">
      <c r="N42" s="342" t="s">
        <v>574</v>
      </c>
      <c r="P42" s="342" t="s">
        <v>558</v>
      </c>
      <c r="R42" s="342" t="s">
        <v>559</v>
      </c>
      <c r="S42" s="343" t="s">
        <v>569</v>
      </c>
      <c r="T42" s="342" t="s">
        <v>570</v>
      </c>
      <c r="U42" s="348" t="s">
        <v>1255</v>
      </c>
      <c r="W42" s="342" t="s">
        <v>586</v>
      </c>
      <c r="X42" s="342" t="s">
        <v>563</v>
      </c>
      <c r="Y42" s="254" t="s">
        <v>1364</v>
      </c>
    </row>
    <row r="43" spans="14:25" x14ac:dyDescent="0.25">
      <c r="N43" s="342" t="s">
        <v>582</v>
      </c>
      <c r="P43" s="342" t="s">
        <v>567</v>
      </c>
      <c r="R43" s="342" t="s">
        <v>568</v>
      </c>
      <c r="S43" s="345" t="s">
        <v>577</v>
      </c>
      <c r="T43" s="342" t="s">
        <v>578</v>
      </c>
      <c r="U43" s="348" t="s">
        <v>1256</v>
      </c>
      <c r="W43" s="342" t="s">
        <v>594</v>
      </c>
      <c r="X43" s="342" t="s">
        <v>572</v>
      </c>
      <c r="Y43" s="343" t="s">
        <v>531</v>
      </c>
    </row>
    <row r="44" spans="14:25" x14ac:dyDescent="0.25">
      <c r="N44" s="342" t="s">
        <v>589</v>
      </c>
      <c r="P44" s="342" t="s">
        <v>575</v>
      </c>
      <c r="R44" s="342" t="s">
        <v>576</v>
      </c>
      <c r="S44" s="345" t="s">
        <v>584</v>
      </c>
      <c r="T44" s="342" t="s">
        <v>585</v>
      </c>
      <c r="U44" s="348" t="s">
        <v>1257</v>
      </c>
      <c r="W44" s="342" t="s">
        <v>601</v>
      </c>
      <c r="X44" s="342" t="s">
        <v>580</v>
      </c>
      <c r="Y44" s="343" t="s">
        <v>766</v>
      </c>
    </row>
    <row r="45" spans="14:25" x14ac:dyDescent="0.25">
      <c r="N45" s="342" t="s">
        <v>597</v>
      </c>
      <c r="P45" s="342" t="s">
        <v>590</v>
      </c>
      <c r="R45" s="342" t="s">
        <v>583</v>
      </c>
      <c r="S45" s="345" t="s">
        <v>592</v>
      </c>
      <c r="T45" s="342" t="s">
        <v>593</v>
      </c>
      <c r="U45" s="348" t="s">
        <v>1258</v>
      </c>
      <c r="W45" s="342" t="s">
        <v>607</v>
      </c>
      <c r="X45" s="342" t="s">
        <v>587</v>
      </c>
      <c r="Y45" s="343" t="s">
        <v>770</v>
      </c>
    </row>
    <row r="46" spans="14:25" x14ac:dyDescent="0.25">
      <c r="N46" s="342" t="s">
        <v>604</v>
      </c>
      <c r="P46" s="342" t="s">
        <v>598</v>
      </c>
      <c r="R46" s="342" t="s">
        <v>591</v>
      </c>
      <c r="S46" s="245"/>
      <c r="T46" s="342" t="s">
        <v>600</v>
      </c>
      <c r="U46" s="347" t="s">
        <v>1297</v>
      </c>
      <c r="W46" s="342" t="s">
        <v>613</v>
      </c>
      <c r="X46" s="342" t="s">
        <v>595</v>
      </c>
      <c r="Y46" s="343" t="s">
        <v>773</v>
      </c>
    </row>
    <row r="47" spans="14:25" x14ac:dyDescent="0.25">
      <c r="N47" s="342" t="s">
        <v>610</v>
      </c>
      <c r="R47" s="342" t="s">
        <v>599</v>
      </c>
      <c r="S47" s="245"/>
      <c r="T47" s="342" t="s">
        <v>606</v>
      </c>
      <c r="U47" s="348" t="s">
        <v>1259</v>
      </c>
      <c r="W47" s="342" t="s">
        <v>619</v>
      </c>
      <c r="X47" s="342" t="s">
        <v>602</v>
      </c>
      <c r="Y47" s="343" t="s">
        <v>776</v>
      </c>
    </row>
    <row r="48" spans="14:25" x14ac:dyDescent="0.25">
      <c r="N48" s="342" t="s">
        <v>616</v>
      </c>
      <c r="R48" s="342" t="s">
        <v>605</v>
      </c>
      <c r="S48" s="245"/>
      <c r="T48" s="342" t="s">
        <v>612</v>
      </c>
      <c r="U48" s="348" t="s">
        <v>1260</v>
      </c>
      <c r="W48" s="342" t="s">
        <v>624</v>
      </c>
      <c r="X48" s="342" t="s">
        <v>608</v>
      </c>
      <c r="Y48" s="343" t="s">
        <v>779</v>
      </c>
    </row>
    <row r="49" spans="14:25" x14ac:dyDescent="0.25">
      <c r="N49" s="342" t="s">
        <v>621</v>
      </c>
      <c r="R49" s="342" t="s">
        <v>611</v>
      </c>
      <c r="S49" s="245"/>
      <c r="T49" s="342" t="s">
        <v>618</v>
      </c>
      <c r="U49" s="348" t="s">
        <v>1261</v>
      </c>
      <c r="W49" s="342" t="s">
        <v>629</v>
      </c>
      <c r="X49" s="342" t="s">
        <v>614</v>
      </c>
      <c r="Y49" s="343" t="s">
        <v>782</v>
      </c>
    </row>
    <row r="50" spans="14:25" x14ac:dyDescent="0.25">
      <c r="N50" s="342" t="s">
        <v>627</v>
      </c>
      <c r="R50" s="342" t="s">
        <v>617</v>
      </c>
      <c r="S50" s="245"/>
      <c r="T50" s="342" t="s">
        <v>623</v>
      </c>
      <c r="U50" s="348" t="s">
        <v>1262</v>
      </c>
      <c r="W50" s="342" t="s">
        <v>635</v>
      </c>
      <c r="X50" s="342" t="s">
        <v>620</v>
      </c>
      <c r="Y50" s="343" t="s">
        <v>742</v>
      </c>
    </row>
    <row r="51" spans="14:25" x14ac:dyDescent="0.25">
      <c r="N51" s="342" t="s">
        <v>632</v>
      </c>
      <c r="R51" s="342" t="s">
        <v>622</v>
      </c>
      <c r="S51" s="245"/>
      <c r="T51" s="342" t="s">
        <v>634</v>
      </c>
      <c r="U51" s="348" t="s">
        <v>1263</v>
      </c>
      <c r="W51" s="342" t="s">
        <v>640</v>
      </c>
      <c r="X51" s="342" t="s">
        <v>625</v>
      </c>
      <c r="Y51" s="343" t="s">
        <v>746</v>
      </c>
    </row>
    <row r="52" spans="14:25" x14ac:dyDescent="0.25">
      <c r="N52" s="342" t="s">
        <v>638</v>
      </c>
      <c r="R52" s="342" t="s">
        <v>628</v>
      </c>
      <c r="S52" s="245"/>
      <c r="T52" s="342" t="s">
        <v>644</v>
      </c>
      <c r="U52" s="348" t="s">
        <v>1264</v>
      </c>
      <c r="W52" s="342" t="s">
        <v>645</v>
      </c>
      <c r="X52" s="342" t="s">
        <v>630</v>
      </c>
      <c r="Y52" s="343" t="s">
        <v>750</v>
      </c>
    </row>
    <row r="53" spans="14:25" x14ac:dyDescent="0.25">
      <c r="N53" s="342" t="s">
        <v>642</v>
      </c>
      <c r="R53" s="342" t="s">
        <v>633</v>
      </c>
      <c r="S53" s="245"/>
      <c r="T53" s="342" t="s">
        <v>649</v>
      </c>
      <c r="U53" s="343" t="s">
        <v>654</v>
      </c>
      <c r="W53" s="342" t="s">
        <v>650</v>
      </c>
      <c r="X53" s="342" t="s">
        <v>636</v>
      </c>
      <c r="Y53" s="343" t="s">
        <v>754</v>
      </c>
    </row>
    <row r="54" spans="14:25" x14ac:dyDescent="0.25">
      <c r="N54" s="342" t="s">
        <v>647</v>
      </c>
      <c r="R54" s="342" t="s">
        <v>639</v>
      </c>
      <c r="S54" s="245"/>
      <c r="T54" s="342" t="s">
        <v>653</v>
      </c>
      <c r="U54" s="343" t="s">
        <v>660</v>
      </c>
      <c r="W54" s="342" t="s">
        <v>655</v>
      </c>
      <c r="X54" s="342" t="s">
        <v>641</v>
      </c>
      <c r="Y54" s="343" t="s">
        <v>758</v>
      </c>
    </row>
    <row r="55" spans="14:25" x14ac:dyDescent="0.25">
      <c r="R55" s="342" t="s">
        <v>643</v>
      </c>
      <c r="S55" s="245"/>
      <c r="T55" s="342" t="s">
        <v>659</v>
      </c>
      <c r="U55" s="343" t="s">
        <v>666</v>
      </c>
      <c r="W55" s="342" t="s">
        <v>661</v>
      </c>
      <c r="X55" s="342" t="s">
        <v>646</v>
      </c>
      <c r="Y55" s="343" t="s">
        <v>762</v>
      </c>
    </row>
    <row r="56" spans="14:25" x14ac:dyDescent="0.25">
      <c r="R56" s="342" t="s">
        <v>648</v>
      </c>
      <c r="S56" s="245"/>
      <c r="T56" s="342" t="s">
        <v>665</v>
      </c>
      <c r="U56" s="343" t="s">
        <v>670</v>
      </c>
      <c r="X56" s="342" t="s">
        <v>651</v>
      </c>
      <c r="Y56" s="343" t="s">
        <v>539</v>
      </c>
    </row>
    <row r="57" spans="14:25" x14ac:dyDescent="0.25">
      <c r="R57" s="342" t="s">
        <v>658</v>
      </c>
      <c r="S57" s="245"/>
      <c r="T57" s="342" t="s">
        <v>669</v>
      </c>
      <c r="U57" s="348" t="s">
        <v>1265</v>
      </c>
      <c r="X57" s="342" t="s">
        <v>656</v>
      </c>
      <c r="Y57" s="343" t="s">
        <v>547</v>
      </c>
    </row>
    <row r="58" spans="14:25" x14ac:dyDescent="0.25">
      <c r="R58" s="342" t="s">
        <v>664</v>
      </c>
      <c r="S58" s="245"/>
      <c r="T58" s="342" t="s">
        <v>674</v>
      </c>
      <c r="U58" s="348" t="s">
        <v>1266</v>
      </c>
      <c r="X58" s="342" t="s">
        <v>662</v>
      </c>
      <c r="Y58" s="368" t="s">
        <v>1356</v>
      </c>
    </row>
    <row r="59" spans="14:25" x14ac:dyDescent="0.25">
      <c r="R59" s="342" t="s">
        <v>673</v>
      </c>
      <c r="S59" s="245"/>
      <c r="T59" s="342" t="s">
        <v>678</v>
      </c>
      <c r="U59" s="348" t="s">
        <v>1267</v>
      </c>
      <c r="X59" s="342" t="s">
        <v>667</v>
      </c>
      <c r="Y59" s="368" t="s">
        <v>1357</v>
      </c>
    </row>
    <row r="60" spans="14:25" x14ac:dyDescent="0.25">
      <c r="R60" s="342" t="s">
        <v>677</v>
      </c>
      <c r="S60" s="245"/>
      <c r="T60" s="342" t="s">
        <v>682</v>
      </c>
      <c r="U60" s="348" t="s">
        <v>1268</v>
      </c>
      <c r="X60" s="342" t="s">
        <v>671</v>
      </c>
      <c r="Y60" s="368" t="s">
        <v>1358</v>
      </c>
    </row>
    <row r="61" spans="14:25" x14ac:dyDescent="0.25">
      <c r="R61" s="342" t="s">
        <v>681</v>
      </c>
      <c r="S61" s="245"/>
      <c r="T61" s="342" t="s">
        <v>687</v>
      </c>
      <c r="U61" s="348" t="s">
        <v>1269</v>
      </c>
      <c r="X61" s="342" t="s">
        <v>675</v>
      </c>
      <c r="Y61" s="368" t="s">
        <v>1359</v>
      </c>
    </row>
    <row r="62" spans="14:25" x14ac:dyDescent="0.25">
      <c r="R62" s="342" t="s">
        <v>686</v>
      </c>
      <c r="S62" s="245"/>
      <c r="T62" s="342" t="s">
        <v>691</v>
      </c>
      <c r="U62" s="348" t="s">
        <v>1270</v>
      </c>
      <c r="X62" s="342" t="s">
        <v>679</v>
      </c>
      <c r="Y62" s="368" t="s">
        <v>1360</v>
      </c>
    </row>
    <row r="63" spans="14:25" x14ac:dyDescent="0.25">
      <c r="R63" s="342" t="s">
        <v>690</v>
      </c>
      <c r="S63" s="245"/>
      <c r="T63" s="342" t="s">
        <v>695</v>
      </c>
      <c r="U63" s="348" t="s">
        <v>683</v>
      </c>
      <c r="X63" s="342" t="s">
        <v>684</v>
      </c>
      <c r="Y63" s="368" t="s">
        <v>1361</v>
      </c>
    </row>
    <row r="64" spans="14:25" x14ac:dyDescent="0.25">
      <c r="R64" s="342" t="s">
        <v>694</v>
      </c>
      <c r="S64" s="245"/>
      <c r="T64" s="342" t="s">
        <v>698</v>
      </c>
      <c r="U64" s="343" t="s">
        <v>714</v>
      </c>
      <c r="X64" s="342" t="s">
        <v>688</v>
      </c>
      <c r="Y64" s="368" t="s">
        <v>1362</v>
      </c>
    </row>
    <row r="65" spans="18:25" x14ac:dyDescent="0.25">
      <c r="R65" s="342" t="s">
        <v>697</v>
      </c>
      <c r="S65" s="245"/>
      <c r="T65" s="342" t="s">
        <v>701</v>
      </c>
      <c r="X65" s="342" t="s">
        <v>692</v>
      </c>
      <c r="Y65" s="368" t="s">
        <v>1377</v>
      </c>
    </row>
    <row r="66" spans="18:25" x14ac:dyDescent="0.25">
      <c r="R66" s="342" t="s">
        <v>700</v>
      </c>
      <c r="S66" s="245"/>
      <c r="T66" s="342" t="s">
        <v>704</v>
      </c>
      <c r="X66" s="254" t="s">
        <v>1344</v>
      </c>
      <c r="Y66" s="343" t="s">
        <v>564</v>
      </c>
    </row>
    <row r="67" spans="18:25" x14ac:dyDescent="0.25">
      <c r="R67" s="342" t="s">
        <v>703</v>
      </c>
      <c r="S67" s="245"/>
      <c r="T67" s="342" t="s">
        <v>707</v>
      </c>
      <c r="X67" s="254" t="s">
        <v>1345</v>
      </c>
      <c r="Y67" s="343" t="s">
        <v>573</v>
      </c>
    </row>
    <row r="68" spans="18:25" x14ac:dyDescent="0.25">
      <c r="R68" s="342" t="s">
        <v>1301</v>
      </c>
      <c r="S68" s="245"/>
      <c r="T68" s="342" t="s">
        <v>709</v>
      </c>
      <c r="X68" s="342" t="s">
        <v>717</v>
      </c>
      <c r="Y68" s="343" t="s">
        <v>581</v>
      </c>
    </row>
    <row r="69" spans="18:25" x14ac:dyDescent="0.25">
      <c r="R69" s="342" t="s">
        <v>705</v>
      </c>
      <c r="S69" s="245"/>
      <c r="T69" s="342" t="s">
        <v>711</v>
      </c>
      <c r="X69" s="342" t="s">
        <v>721</v>
      </c>
      <c r="Y69" s="343" t="s">
        <v>588</v>
      </c>
    </row>
    <row r="70" spans="18:25" x14ac:dyDescent="0.25">
      <c r="R70" s="342" t="s">
        <v>706</v>
      </c>
      <c r="S70" s="245"/>
      <c r="T70" s="342" t="s">
        <v>713</v>
      </c>
      <c r="X70" s="342" t="s">
        <v>725</v>
      </c>
      <c r="Y70" s="343" t="s">
        <v>596</v>
      </c>
    </row>
    <row r="71" spans="18:25" x14ac:dyDescent="0.25">
      <c r="R71" s="342" t="s">
        <v>708</v>
      </c>
      <c r="S71" s="245"/>
      <c r="T71" s="342" t="s">
        <v>716</v>
      </c>
      <c r="X71" s="342" t="s">
        <v>728</v>
      </c>
      <c r="Y71" s="343" t="s">
        <v>603</v>
      </c>
    </row>
    <row r="72" spans="18:25" x14ac:dyDescent="0.25">
      <c r="R72" s="342" t="s">
        <v>710</v>
      </c>
      <c r="S72" s="245"/>
      <c r="T72" s="342" t="s">
        <v>720</v>
      </c>
      <c r="X72" s="342" t="s">
        <v>732</v>
      </c>
      <c r="Y72" s="367" t="s">
        <v>1295</v>
      </c>
    </row>
    <row r="73" spans="18:25" x14ac:dyDescent="0.25">
      <c r="R73" s="342" t="s">
        <v>712</v>
      </c>
      <c r="S73" s="245"/>
      <c r="T73" s="342" t="s">
        <v>724</v>
      </c>
      <c r="X73" s="342" t="s">
        <v>735</v>
      </c>
      <c r="Y73" s="367" t="s">
        <v>1291</v>
      </c>
    </row>
    <row r="74" spans="18:25" x14ac:dyDescent="0.25">
      <c r="R74" s="342" t="s">
        <v>715</v>
      </c>
      <c r="S74" s="245"/>
      <c r="T74" s="342" t="s">
        <v>727</v>
      </c>
      <c r="X74" s="254" t="s">
        <v>1343</v>
      </c>
      <c r="Y74" s="367" t="s">
        <v>1292</v>
      </c>
    </row>
    <row r="75" spans="18:25" x14ac:dyDescent="0.25">
      <c r="R75" s="342" t="s">
        <v>719</v>
      </c>
      <c r="S75" s="245"/>
      <c r="T75" s="342" t="s">
        <v>731</v>
      </c>
      <c r="X75" s="342" t="s">
        <v>738</v>
      </c>
      <c r="Y75" s="367" t="s">
        <v>1293</v>
      </c>
    </row>
    <row r="76" spans="18:25" x14ac:dyDescent="0.25">
      <c r="R76" s="342" t="s">
        <v>723</v>
      </c>
      <c r="S76" s="245"/>
      <c r="T76" s="342" t="s">
        <v>734</v>
      </c>
      <c r="X76" s="342" t="s">
        <v>741</v>
      </c>
      <c r="Y76" s="367" t="s">
        <v>1294</v>
      </c>
    </row>
    <row r="77" spans="18:25" x14ac:dyDescent="0.25">
      <c r="R77" s="342" t="s">
        <v>730</v>
      </c>
      <c r="S77" s="245"/>
      <c r="T77" s="342" t="s">
        <v>737</v>
      </c>
      <c r="X77" s="342" t="s">
        <v>745</v>
      </c>
      <c r="Y77" s="343" t="s">
        <v>609</v>
      </c>
    </row>
    <row r="78" spans="18:25" x14ac:dyDescent="0.25">
      <c r="R78" s="342" t="s">
        <v>733</v>
      </c>
      <c r="S78" s="245"/>
      <c r="T78" s="342" t="s">
        <v>740</v>
      </c>
      <c r="X78" s="342" t="s">
        <v>749</v>
      </c>
      <c r="Y78" s="343" t="s">
        <v>615</v>
      </c>
    </row>
    <row r="79" spans="18:25" x14ac:dyDescent="0.25">
      <c r="R79" s="342" t="s">
        <v>736</v>
      </c>
      <c r="S79" s="245"/>
      <c r="T79" s="342" t="s">
        <v>744</v>
      </c>
      <c r="V79" s="309"/>
      <c r="X79" s="342" t="s">
        <v>753</v>
      </c>
      <c r="Y79" s="343" t="s">
        <v>626</v>
      </c>
    </row>
    <row r="80" spans="18:25" x14ac:dyDescent="0.25">
      <c r="R80" s="342" t="s">
        <v>739</v>
      </c>
      <c r="S80" s="245"/>
      <c r="T80" s="342" t="s">
        <v>748</v>
      </c>
      <c r="V80" s="309"/>
      <c r="X80" s="342" t="s">
        <v>757</v>
      </c>
      <c r="Y80" s="343" t="s">
        <v>631</v>
      </c>
    </row>
    <row r="81" spans="18:25" x14ac:dyDescent="0.25">
      <c r="R81" s="342" t="s">
        <v>743</v>
      </c>
      <c r="S81" s="245"/>
      <c r="T81" s="342" t="s">
        <v>752</v>
      </c>
      <c r="V81" s="309"/>
      <c r="X81" s="342" t="s">
        <v>761</v>
      </c>
      <c r="Y81" s="343" t="s">
        <v>637</v>
      </c>
    </row>
    <row r="82" spans="18:25" x14ac:dyDescent="0.25">
      <c r="R82" s="342" t="s">
        <v>747</v>
      </c>
      <c r="S82" s="245"/>
      <c r="T82" s="342" t="s">
        <v>756</v>
      </c>
      <c r="V82" s="309"/>
      <c r="X82" s="342" t="s">
        <v>765</v>
      </c>
      <c r="Y82" s="343" t="s">
        <v>652</v>
      </c>
    </row>
    <row r="83" spans="18:25" x14ac:dyDescent="0.25">
      <c r="R83" s="342" t="s">
        <v>751</v>
      </c>
      <c r="S83" s="245"/>
      <c r="T83" s="342" t="s">
        <v>760</v>
      </c>
      <c r="V83" s="309"/>
      <c r="X83" s="342" t="s">
        <v>769</v>
      </c>
      <c r="Y83" s="343" t="s">
        <v>657</v>
      </c>
    </row>
    <row r="84" spans="18:25" x14ac:dyDescent="0.25">
      <c r="R84" s="342" t="s">
        <v>755</v>
      </c>
      <c r="S84" s="245"/>
      <c r="T84" s="342" t="s">
        <v>764</v>
      </c>
      <c r="V84" s="309"/>
      <c r="X84" s="405" t="s">
        <v>1373</v>
      </c>
      <c r="Y84" s="343" t="s">
        <v>663</v>
      </c>
    </row>
    <row r="85" spans="18:25" x14ac:dyDescent="0.25">
      <c r="R85" s="342" t="s">
        <v>759</v>
      </c>
      <c r="S85" s="245"/>
      <c r="T85" s="342" t="s">
        <v>768</v>
      </c>
      <c r="V85" s="309"/>
      <c r="X85" s="405" t="s">
        <v>1374</v>
      </c>
      <c r="Y85" s="343" t="s">
        <v>668</v>
      </c>
    </row>
    <row r="86" spans="18:25" x14ac:dyDescent="0.25">
      <c r="R86" s="342" t="s">
        <v>763</v>
      </c>
      <c r="S86" s="245"/>
      <c r="T86" s="342" t="s">
        <v>772</v>
      </c>
      <c r="V86" s="309"/>
      <c r="Y86" s="343" t="s">
        <v>672</v>
      </c>
    </row>
    <row r="87" spans="18:25" x14ac:dyDescent="0.25">
      <c r="R87" s="342" t="s">
        <v>767</v>
      </c>
      <c r="S87" s="245"/>
      <c r="T87" s="342" t="s">
        <v>775</v>
      </c>
      <c r="V87" s="309"/>
      <c r="Y87" s="343" t="s">
        <v>676</v>
      </c>
    </row>
    <row r="88" spans="18:25" x14ac:dyDescent="0.25">
      <c r="R88" s="342" t="s">
        <v>771</v>
      </c>
      <c r="S88" s="245"/>
      <c r="T88" s="342" t="s">
        <v>778</v>
      </c>
      <c r="V88" s="309"/>
      <c r="Y88" s="343" t="s">
        <v>680</v>
      </c>
    </row>
    <row r="89" spans="18:25" x14ac:dyDescent="0.25">
      <c r="R89" s="342" t="s">
        <v>774</v>
      </c>
      <c r="S89" s="245"/>
      <c r="T89" s="342" t="s">
        <v>781</v>
      </c>
      <c r="V89" s="309"/>
      <c r="Y89" s="343" t="s">
        <v>685</v>
      </c>
    </row>
    <row r="90" spans="18:25" x14ac:dyDescent="0.25">
      <c r="R90" s="342" t="s">
        <v>777</v>
      </c>
      <c r="S90" s="245"/>
      <c r="T90" s="342" t="s">
        <v>784</v>
      </c>
      <c r="V90" s="309"/>
      <c r="Y90" s="343" t="s">
        <v>689</v>
      </c>
    </row>
    <row r="91" spans="18:25" x14ac:dyDescent="0.25">
      <c r="R91" s="342" t="s">
        <v>780</v>
      </c>
      <c r="S91" s="245"/>
      <c r="T91" s="342" t="s">
        <v>786</v>
      </c>
      <c r="V91" s="309"/>
      <c r="Y91" s="343" t="s">
        <v>693</v>
      </c>
    </row>
    <row r="92" spans="18:25" x14ac:dyDescent="0.25">
      <c r="R92" s="342" t="s">
        <v>783</v>
      </c>
      <c r="S92" s="245"/>
      <c r="T92" s="342" t="s">
        <v>788</v>
      </c>
      <c r="V92" s="309"/>
      <c r="Y92" s="343" t="s">
        <v>696</v>
      </c>
    </row>
    <row r="93" spans="18:25" x14ac:dyDescent="0.25">
      <c r="R93" s="342" t="s">
        <v>785</v>
      </c>
      <c r="S93" s="245"/>
      <c r="T93" s="342" t="s">
        <v>789</v>
      </c>
      <c r="V93" s="309"/>
      <c r="Y93" s="343" t="s">
        <v>699</v>
      </c>
    </row>
    <row r="94" spans="18:25" x14ac:dyDescent="0.25">
      <c r="R94" s="342" t="s">
        <v>787</v>
      </c>
      <c r="S94" s="245"/>
      <c r="T94" s="342" t="s">
        <v>791</v>
      </c>
      <c r="V94" s="309"/>
      <c r="Y94" s="371" t="s">
        <v>702</v>
      </c>
    </row>
    <row r="95" spans="18:25" x14ac:dyDescent="0.25">
      <c r="R95" s="342" t="s">
        <v>790</v>
      </c>
      <c r="S95" s="245"/>
      <c r="T95" s="342" t="s">
        <v>793</v>
      </c>
      <c r="V95" s="309"/>
      <c r="Y95" s="371" t="s">
        <v>718</v>
      </c>
    </row>
    <row r="96" spans="18:25" x14ac:dyDescent="0.25">
      <c r="R96" s="342" t="s">
        <v>792</v>
      </c>
      <c r="S96" s="245"/>
      <c r="T96" s="342" t="s">
        <v>795</v>
      </c>
      <c r="V96" s="309"/>
      <c r="Y96" s="371" t="s">
        <v>722</v>
      </c>
    </row>
    <row r="97" spans="15:25" x14ac:dyDescent="0.25">
      <c r="O97" s="246"/>
      <c r="R97" s="342" t="s">
        <v>794</v>
      </c>
      <c r="S97" s="245"/>
      <c r="T97" s="342" t="s">
        <v>797</v>
      </c>
      <c r="V97" s="309"/>
      <c r="Y97" s="371" t="s">
        <v>726</v>
      </c>
    </row>
    <row r="98" spans="15:25" x14ac:dyDescent="0.25">
      <c r="O98" s="246"/>
      <c r="R98" s="342" t="s">
        <v>796</v>
      </c>
      <c r="S98" s="245"/>
      <c r="T98" s="342" t="s">
        <v>799</v>
      </c>
      <c r="V98" s="309"/>
      <c r="Y98" s="371" t="s">
        <v>729</v>
      </c>
    </row>
    <row r="99" spans="15:25" x14ac:dyDescent="0.25">
      <c r="O99" s="246"/>
      <c r="R99" s="342" t="s">
        <v>798</v>
      </c>
      <c r="S99" s="245"/>
      <c r="T99" s="342" t="s">
        <v>801</v>
      </c>
      <c r="V99" s="309"/>
    </row>
    <row r="100" spans="15:25" x14ac:dyDescent="0.25">
      <c r="O100" s="246"/>
      <c r="R100" s="342" t="s">
        <v>800</v>
      </c>
      <c r="S100" s="245"/>
      <c r="T100" s="342" t="s">
        <v>803</v>
      </c>
      <c r="V100" s="309"/>
    </row>
    <row r="101" spans="15:25" x14ac:dyDescent="0.25">
      <c r="O101" s="246"/>
      <c r="R101" s="342" t="s">
        <v>802</v>
      </c>
      <c r="S101" s="245"/>
      <c r="T101" s="342" t="s">
        <v>805</v>
      </c>
      <c r="V101" s="309"/>
    </row>
    <row r="102" spans="15:25" x14ac:dyDescent="0.25">
      <c r="O102" s="246"/>
      <c r="R102" s="342" t="s">
        <v>804</v>
      </c>
      <c r="S102" s="245"/>
      <c r="V102" s="309"/>
    </row>
    <row r="103" spans="15:25" x14ac:dyDescent="0.25">
      <c r="O103" s="246"/>
      <c r="R103" s="342" t="s">
        <v>806</v>
      </c>
      <c r="S103" s="245"/>
      <c r="V103" s="309"/>
    </row>
    <row r="104" spans="15:25" x14ac:dyDescent="0.25">
      <c r="O104" s="246"/>
      <c r="R104" s="342" t="s">
        <v>807</v>
      </c>
      <c r="S104" s="245"/>
      <c r="V104" s="309"/>
    </row>
    <row r="105" spans="15:25" x14ac:dyDescent="0.25">
      <c r="O105" s="246"/>
      <c r="R105" s="342" t="s">
        <v>808</v>
      </c>
      <c r="S105" s="245"/>
      <c r="V105" s="309"/>
    </row>
    <row r="106" spans="15:25" x14ac:dyDescent="0.25">
      <c r="O106" s="246"/>
      <c r="R106" s="342" t="s">
        <v>809</v>
      </c>
      <c r="S106" s="245"/>
      <c r="V106" s="309"/>
    </row>
    <row r="107" spans="15:25" x14ac:dyDescent="0.25">
      <c r="O107" s="246"/>
      <c r="R107" s="342" t="s">
        <v>810</v>
      </c>
      <c r="S107" s="245"/>
      <c r="V107" s="309"/>
    </row>
    <row r="108" spans="15:25" x14ac:dyDescent="0.25">
      <c r="O108" s="246"/>
      <c r="R108" s="342" t="s">
        <v>811</v>
      </c>
      <c r="S108" s="245"/>
      <c r="V108" s="309"/>
    </row>
    <row r="109" spans="15:25" x14ac:dyDescent="0.25">
      <c r="O109" s="246"/>
      <c r="R109" s="342" t="s">
        <v>812</v>
      </c>
      <c r="S109" s="245"/>
      <c r="V109" s="309"/>
    </row>
    <row r="110" spans="15:25" x14ac:dyDescent="0.25">
      <c r="O110" s="246"/>
      <c r="R110" s="342" t="s">
        <v>813</v>
      </c>
      <c r="S110" s="245"/>
      <c r="V110" s="309"/>
    </row>
    <row r="111" spans="15:25" x14ac:dyDescent="0.25">
      <c r="O111" s="246"/>
      <c r="R111" s="342" t="s">
        <v>814</v>
      </c>
      <c r="S111" s="245"/>
      <c r="V111" s="309"/>
    </row>
    <row r="112" spans="15:25" x14ac:dyDescent="0.25">
      <c r="O112" s="246"/>
      <c r="R112" s="342" t="s">
        <v>815</v>
      </c>
      <c r="S112" s="245"/>
      <c r="V112" s="309"/>
    </row>
    <row r="113" spans="15:22" x14ac:dyDescent="0.25">
      <c r="O113" s="246"/>
      <c r="R113" s="342" t="s">
        <v>816</v>
      </c>
      <c r="S113" s="245"/>
      <c r="V113" s="309"/>
    </row>
    <row r="114" spans="15:22" x14ac:dyDescent="0.25">
      <c r="O114" s="246"/>
      <c r="R114" s="342" t="s">
        <v>817</v>
      </c>
      <c r="S114" s="245"/>
      <c r="V114" s="309"/>
    </row>
    <row r="115" spans="15:22" x14ac:dyDescent="0.25">
      <c r="O115" s="246"/>
      <c r="R115" s="342" t="s">
        <v>818</v>
      </c>
      <c r="S115" s="245"/>
      <c r="V115" s="309"/>
    </row>
    <row r="116" spans="15:22" x14ac:dyDescent="0.25">
      <c r="O116" s="246"/>
      <c r="R116" s="342" t="s">
        <v>819</v>
      </c>
      <c r="S116" s="245"/>
      <c r="V116" s="309"/>
    </row>
    <row r="117" spans="15:22" x14ac:dyDescent="0.25">
      <c r="O117" s="246"/>
      <c r="R117" s="342" t="s">
        <v>820</v>
      </c>
      <c r="S117" s="245"/>
      <c r="V117" s="309"/>
    </row>
    <row r="118" spans="15:22" x14ac:dyDescent="0.25">
      <c r="O118" s="246"/>
      <c r="R118" s="342" t="s">
        <v>821</v>
      </c>
      <c r="S118" s="245"/>
    </row>
    <row r="119" spans="15:22" x14ac:dyDescent="0.25">
      <c r="O119" s="246"/>
      <c r="R119" s="342" t="s">
        <v>822</v>
      </c>
      <c r="S119" s="245"/>
    </row>
    <row r="120" spans="15:22" x14ac:dyDescent="0.25">
      <c r="O120" s="246"/>
      <c r="R120" s="342" t="s">
        <v>823</v>
      </c>
      <c r="S120" s="245"/>
    </row>
    <row r="121" spans="15:22" x14ac:dyDescent="0.25">
      <c r="O121" s="246"/>
      <c r="R121" s="342" t="s">
        <v>824</v>
      </c>
      <c r="S121" s="245"/>
    </row>
    <row r="122" spans="15:22" x14ac:dyDescent="0.25">
      <c r="O122" s="246"/>
      <c r="R122" s="342" t="s">
        <v>825</v>
      </c>
      <c r="S122" s="245"/>
    </row>
    <row r="123" spans="15:22" x14ac:dyDescent="0.25">
      <c r="O123" s="246"/>
      <c r="R123" s="342" t="s">
        <v>826</v>
      </c>
      <c r="S123" s="245"/>
    </row>
    <row r="124" spans="15:22" x14ac:dyDescent="0.25">
      <c r="O124" s="246"/>
      <c r="R124" s="342" t="s">
        <v>827</v>
      </c>
      <c r="S124" s="245"/>
    </row>
    <row r="125" spans="15:22" x14ac:dyDescent="0.25">
      <c r="O125" s="246"/>
      <c r="R125" s="342" t="s">
        <v>828</v>
      </c>
      <c r="S125" s="245"/>
    </row>
    <row r="126" spans="15:22" x14ac:dyDescent="0.25">
      <c r="O126" s="246"/>
      <c r="R126" s="342" t="s">
        <v>829</v>
      </c>
      <c r="S126" s="245"/>
    </row>
    <row r="127" spans="15:22" x14ac:dyDescent="0.25">
      <c r="O127" s="246"/>
      <c r="R127" s="342" t="s">
        <v>830</v>
      </c>
      <c r="S127" s="245"/>
    </row>
    <row r="128" spans="15:22" x14ac:dyDescent="0.25">
      <c r="O128" s="246"/>
      <c r="R128" s="342" t="s">
        <v>831</v>
      </c>
      <c r="S128" s="245"/>
    </row>
    <row r="129" spans="15:19" x14ac:dyDescent="0.25">
      <c r="O129" s="246"/>
      <c r="R129" s="342" t="s">
        <v>832</v>
      </c>
      <c r="S129" s="245"/>
    </row>
    <row r="130" spans="15:19" x14ac:dyDescent="0.25">
      <c r="O130" s="246"/>
      <c r="R130" s="342" t="s">
        <v>833</v>
      </c>
      <c r="S130" s="245"/>
    </row>
    <row r="131" spans="15:19" x14ac:dyDescent="0.25">
      <c r="O131" s="246"/>
      <c r="R131" s="342" t="s">
        <v>834</v>
      </c>
      <c r="S131" s="245"/>
    </row>
    <row r="132" spans="15:19" x14ac:dyDescent="0.25">
      <c r="O132" s="246"/>
      <c r="R132" s="342" t="s">
        <v>835</v>
      </c>
      <c r="S132" s="245"/>
    </row>
    <row r="133" spans="15:19" x14ac:dyDescent="0.25">
      <c r="O133" s="246"/>
      <c r="R133" s="342" t="s">
        <v>836</v>
      </c>
      <c r="S133" s="245"/>
    </row>
    <row r="134" spans="15:19" x14ac:dyDescent="0.25">
      <c r="O134" s="246"/>
      <c r="R134" s="342" t="s">
        <v>837</v>
      </c>
      <c r="S134" s="245"/>
    </row>
    <row r="135" spans="15:19" x14ac:dyDescent="0.25">
      <c r="O135" s="246"/>
      <c r="R135" s="342" t="s">
        <v>838</v>
      </c>
      <c r="S135" s="245"/>
    </row>
    <row r="136" spans="15:19" x14ac:dyDescent="0.25">
      <c r="O136" s="246"/>
      <c r="R136" s="342" t="s">
        <v>839</v>
      </c>
      <c r="S136" s="245"/>
    </row>
    <row r="137" spans="15:19" x14ac:dyDescent="0.25">
      <c r="O137" s="246"/>
      <c r="R137" s="342" t="s">
        <v>840</v>
      </c>
      <c r="S137" s="245"/>
    </row>
    <row r="138" spans="15:19" x14ac:dyDescent="0.25">
      <c r="O138" s="246"/>
      <c r="R138" s="342" t="s">
        <v>841</v>
      </c>
      <c r="S138" s="245"/>
    </row>
    <row r="139" spans="15:19" x14ac:dyDescent="0.25">
      <c r="O139" s="246"/>
      <c r="R139" s="342" t="s">
        <v>842</v>
      </c>
      <c r="S139" s="245"/>
    </row>
    <row r="140" spans="15:19" x14ac:dyDescent="0.25">
      <c r="O140" s="246"/>
      <c r="R140" s="342" t="s">
        <v>843</v>
      </c>
      <c r="S140" s="245"/>
    </row>
    <row r="141" spans="15:19" x14ac:dyDescent="0.25">
      <c r="O141" s="246"/>
      <c r="R141" s="342" t="s">
        <v>844</v>
      </c>
      <c r="S141" s="245"/>
    </row>
    <row r="142" spans="15:19" x14ac:dyDescent="0.25">
      <c r="O142" s="246"/>
      <c r="R142" s="342" t="s">
        <v>845</v>
      </c>
      <c r="S142" s="245"/>
    </row>
    <row r="143" spans="15:19" x14ac:dyDescent="0.25">
      <c r="R143" s="342" t="s">
        <v>846</v>
      </c>
      <c r="S143" s="245"/>
    </row>
    <row r="144" spans="15:19" x14ac:dyDescent="0.25">
      <c r="R144" s="342" t="s">
        <v>847</v>
      </c>
      <c r="S144" s="245"/>
    </row>
    <row r="145" spans="18:19" x14ac:dyDescent="0.25">
      <c r="R145" s="342" t="s">
        <v>848</v>
      </c>
      <c r="S145" s="245"/>
    </row>
    <row r="146" spans="18:19" x14ac:dyDescent="0.25">
      <c r="R146" s="342" t="s">
        <v>849</v>
      </c>
      <c r="S146" s="245"/>
    </row>
    <row r="147" spans="18:19" x14ac:dyDescent="0.25">
      <c r="R147" s="342" t="s">
        <v>850</v>
      </c>
      <c r="S147" s="245"/>
    </row>
    <row r="148" spans="18:19" x14ac:dyDescent="0.25">
      <c r="R148" s="342" t="s">
        <v>851</v>
      </c>
      <c r="S148" s="245"/>
    </row>
    <row r="149" spans="18:19" x14ac:dyDescent="0.25">
      <c r="R149" s="342" t="s">
        <v>852</v>
      </c>
      <c r="S149" s="245"/>
    </row>
    <row r="150" spans="18:19" x14ac:dyDescent="0.25">
      <c r="S150" s="245"/>
    </row>
    <row r="151" spans="18:19" x14ac:dyDescent="0.25">
      <c r="S151" s="245"/>
    </row>
    <row r="152" spans="18:19" x14ac:dyDescent="0.25">
      <c r="S152" s="245"/>
    </row>
    <row r="153" spans="18:19" x14ac:dyDescent="0.25">
      <c r="S153" s="245"/>
    </row>
    <row r="154" spans="18:19" x14ac:dyDescent="0.25">
      <c r="S154" s="245"/>
    </row>
    <row r="155" spans="18:19" x14ac:dyDescent="0.25">
      <c r="S155" s="245"/>
    </row>
    <row r="156" spans="18:19" x14ac:dyDescent="0.25">
      <c r="S156" s="245"/>
    </row>
    <row r="157" spans="18:19" x14ac:dyDescent="0.25">
      <c r="S157" s="245"/>
    </row>
    <row r="158" spans="18:19" x14ac:dyDescent="0.25">
      <c r="S158" s="245"/>
    </row>
    <row r="159" spans="18:19" x14ac:dyDescent="0.25">
      <c r="S159" s="245"/>
    </row>
    <row r="160" spans="18:19" x14ac:dyDescent="0.25">
      <c r="S160" s="245"/>
    </row>
    <row r="161" spans="19:19" x14ac:dyDescent="0.25">
      <c r="S161" s="245"/>
    </row>
    <row r="162" spans="19:19" x14ac:dyDescent="0.25">
      <c r="S162" s="245"/>
    </row>
    <row r="163" spans="19:19" x14ac:dyDescent="0.25">
      <c r="S163" s="245"/>
    </row>
    <row r="164" spans="19:19" x14ac:dyDescent="0.25">
      <c r="S164" s="245"/>
    </row>
    <row r="165" spans="19:19" x14ac:dyDescent="0.25">
      <c r="S165" s="245"/>
    </row>
    <row r="166" spans="19:19" x14ac:dyDescent="0.25">
      <c r="S166" s="245"/>
    </row>
    <row r="167" spans="19:19" x14ac:dyDescent="0.25">
      <c r="S167" s="245"/>
    </row>
    <row r="168" spans="19:19" x14ac:dyDescent="0.25">
      <c r="S168" s="245"/>
    </row>
    <row r="169" spans="19:19" x14ac:dyDescent="0.25">
      <c r="S169" s="245"/>
    </row>
    <row r="170" spans="19:19" x14ac:dyDescent="0.25">
      <c r="S170" s="245"/>
    </row>
    <row r="171" spans="19:19" x14ac:dyDescent="0.25">
      <c r="S171" s="245"/>
    </row>
    <row r="172" spans="19:19" x14ac:dyDescent="0.25">
      <c r="S172" s="245"/>
    </row>
    <row r="173" spans="19:19" x14ac:dyDescent="0.25">
      <c r="S173" s="245"/>
    </row>
    <row r="174" spans="19:19" x14ac:dyDescent="0.25">
      <c r="S174" s="245"/>
    </row>
    <row r="175" spans="19:19" x14ac:dyDescent="0.25">
      <c r="S175" s="245"/>
    </row>
    <row r="176" spans="19:19" x14ac:dyDescent="0.25">
      <c r="S176" s="245"/>
    </row>
    <row r="177" spans="19:19" x14ac:dyDescent="0.25">
      <c r="S177" s="245"/>
    </row>
    <row r="178" spans="19:19" x14ac:dyDescent="0.25">
      <c r="S178" s="245"/>
    </row>
    <row r="179" spans="19:19" x14ac:dyDescent="0.25">
      <c r="S179" s="245"/>
    </row>
    <row r="180" spans="19:19" x14ac:dyDescent="0.25">
      <c r="S180" s="245"/>
    </row>
    <row r="181" spans="19:19" x14ac:dyDescent="0.25">
      <c r="S181" s="245"/>
    </row>
    <row r="182" spans="19:19" x14ac:dyDescent="0.25">
      <c r="S182" s="245"/>
    </row>
    <row r="183" spans="19:19" x14ac:dyDescent="0.25">
      <c r="S183" s="245"/>
    </row>
    <row r="184" spans="19:19" x14ac:dyDescent="0.25">
      <c r="S184" s="245"/>
    </row>
    <row r="185" spans="19:19" x14ac:dyDescent="0.25">
      <c r="S185" s="245"/>
    </row>
    <row r="186" spans="19:19" x14ac:dyDescent="0.25">
      <c r="S186" s="245"/>
    </row>
    <row r="187" spans="19:19" x14ac:dyDescent="0.25">
      <c r="S187" s="245"/>
    </row>
    <row r="188" spans="19:19" x14ac:dyDescent="0.25">
      <c r="S188" s="245"/>
    </row>
    <row r="189" spans="19:19" x14ac:dyDescent="0.25">
      <c r="S189" s="245"/>
    </row>
    <row r="190" spans="19:19" x14ac:dyDescent="0.25">
      <c r="S190" s="245"/>
    </row>
    <row r="191" spans="19:19" x14ac:dyDescent="0.25">
      <c r="S191" s="245"/>
    </row>
    <row r="192" spans="19:19" x14ac:dyDescent="0.25">
      <c r="S192" s="245"/>
    </row>
    <row r="193" spans="19:19" x14ac:dyDescent="0.25">
      <c r="S193" s="245"/>
    </row>
    <row r="194" spans="19:19" x14ac:dyDescent="0.25">
      <c r="S194" s="245"/>
    </row>
    <row r="195" spans="19:19" x14ac:dyDescent="0.25">
      <c r="S195" s="245"/>
    </row>
    <row r="196" spans="19:19" x14ac:dyDescent="0.25">
      <c r="S196" s="245"/>
    </row>
    <row r="197" spans="19:19" x14ac:dyDescent="0.25">
      <c r="S197" s="245"/>
    </row>
    <row r="198" spans="19:19" x14ac:dyDescent="0.25">
      <c r="S198" s="245"/>
    </row>
    <row r="199" spans="19:19" x14ac:dyDescent="0.25">
      <c r="S199" s="245"/>
    </row>
    <row r="200" spans="19:19" x14ac:dyDescent="0.25">
      <c r="S200" s="245"/>
    </row>
    <row r="201" spans="19:19" x14ac:dyDescent="0.25">
      <c r="S201" s="245"/>
    </row>
    <row r="202" spans="19:19" x14ac:dyDescent="0.25">
      <c r="S202" s="245"/>
    </row>
    <row r="203" spans="19:19" x14ac:dyDescent="0.25">
      <c r="S203" s="245"/>
    </row>
    <row r="204" spans="19:19" x14ac:dyDescent="0.25">
      <c r="S204" s="245"/>
    </row>
    <row r="205" spans="19:19" x14ac:dyDescent="0.25">
      <c r="S205" s="245"/>
    </row>
    <row r="206" spans="19:19" x14ac:dyDescent="0.25">
      <c r="S206" s="245"/>
    </row>
    <row r="207" spans="19:19" x14ac:dyDescent="0.25">
      <c r="S207" s="245"/>
    </row>
    <row r="208" spans="19:19" x14ac:dyDescent="0.25">
      <c r="S208" s="245"/>
    </row>
    <row r="209" spans="19:19" x14ac:dyDescent="0.25">
      <c r="S209" s="245"/>
    </row>
    <row r="210" spans="19:19" x14ac:dyDescent="0.25">
      <c r="S210" s="245"/>
    </row>
    <row r="211" spans="19:19" x14ac:dyDescent="0.25">
      <c r="S211" s="245"/>
    </row>
    <row r="212" spans="19:19" x14ac:dyDescent="0.25">
      <c r="S212" s="245"/>
    </row>
    <row r="213" spans="19:19" x14ac:dyDescent="0.25">
      <c r="S213" s="245"/>
    </row>
    <row r="214" spans="19:19" x14ac:dyDescent="0.25">
      <c r="S214" s="245"/>
    </row>
    <row r="215" spans="19:19" x14ac:dyDescent="0.25">
      <c r="S215" s="245"/>
    </row>
    <row r="216" spans="19:19" x14ac:dyDescent="0.25">
      <c r="S216" s="245"/>
    </row>
    <row r="217" spans="19:19" x14ac:dyDescent="0.25">
      <c r="S217" s="245"/>
    </row>
    <row r="218" spans="19:19" x14ac:dyDescent="0.25">
      <c r="S218" s="245"/>
    </row>
    <row r="219" spans="19:19" x14ac:dyDescent="0.25">
      <c r="S219" s="245"/>
    </row>
    <row r="220" spans="19:19" x14ac:dyDescent="0.25">
      <c r="S220" s="245"/>
    </row>
    <row r="221" spans="19:19" x14ac:dyDescent="0.25">
      <c r="S221" s="245"/>
    </row>
    <row r="222" spans="19:19" x14ac:dyDescent="0.25">
      <c r="S222" s="245"/>
    </row>
    <row r="223" spans="19:19" x14ac:dyDescent="0.25">
      <c r="S223" s="245"/>
    </row>
    <row r="224" spans="19:19" x14ac:dyDescent="0.25">
      <c r="S224" s="245"/>
    </row>
    <row r="225" spans="19:19" x14ac:dyDescent="0.25">
      <c r="S225" s="245"/>
    </row>
    <row r="226" spans="19:19" x14ac:dyDescent="0.25">
      <c r="S226" s="245"/>
    </row>
    <row r="227" spans="19:19" x14ac:dyDescent="0.25">
      <c r="S227" s="245"/>
    </row>
    <row r="228" spans="19:19" x14ac:dyDescent="0.25">
      <c r="S228" s="245"/>
    </row>
    <row r="229" spans="19:19" x14ac:dyDescent="0.25">
      <c r="S229" s="245"/>
    </row>
    <row r="230" spans="19:19" x14ac:dyDescent="0.25">
      <c r="S230" s="245"/>
    </row>
    <row r="231" spans="19:19" x14ac:dyDescent="0.25">
      <c r="S231" s="245"/>
    </row>
    <row r="232" spans="19:19" x14ac:dyDescent="0.25">
      <c r="S232" s="245"/>
    </row>
    <row r="233" spans="19:19" x14ac:dyDescent="0.25">
      <c r="S233" s="245"/>
    </row>
    <row r="234" spans="19:19" x14ac:dyDescent="0.25">
      <c r="S234" s="245"/>
    </row>
    <row r="235" spans="19:19" x14ac:dyDescent="0.25">
      <c r="S235" s="245"/>
    </row>
    <row r="236" spans="19:19" x14ac:dyDescent="0.25">
      <c r="S236" s="245"/>
    </row>
    <row r="237" spans="19:19" x14ac:dyDescent="0.25">
      <c r="S237" s="245"/>
    </row>
    <row r="238" spans="19:19" x14ac:dyDescent="0.25">
      <c r="S238" s="245"/>
    </row>
    <row r="239" spans="19:19" x14ac:dyDescent="0.25">
      <c r="S239" s="245"/>
    </row>
    <row r="240" spans="19:19" x14ac:dyDescent="0.25">
      <c r="S240" s="245"/>
    </row>
    <row r="241" spans="19:19" x14ac:dyDescent="0.25">
      <c r="S241" s="245"/>
    </row>
    <row r="242" spans="19:19" x14ac:dyDescent="0.25">
      <c r="S242" s="245"/>
    </row>
    <row r="243" spans="19:19" x14ac:dyDescent="0.25">
      <c r="S243" s="245"/>
    </row>
    <row r="244" spans="19:19" x14ac:dyDescent="0.25">
      <c r="S244" s="245"/>
    </row>
    <row r="245" spans="19:19" x14ac:dyDescent="0.25">
      <c r="S245" s="245"/>
    </row>
    <row r="246" spans="19:19" x14ac:dyDescent="0.25">
      <c r="S246" s="245"/>
    </row>
    <row r="247" spans="19:19" x14ac:dyDescent="0.25">
      <c r="S247" s="245"/>
    </row>
    <row r="248" spans="19:19" x14ac:dyDescent="0.25">
      <c r="S248" s="245"/>
    </row>
    <row r="249" spans="19:19" x14ac:dyDescent="0.25">
      <c r="S249" s="245"/>
    </row>
    <row r="250" spans="19:19" x14ac:dyDescent="0.25">
      <c r="S250" s="245"/>
    </row>
    <row r="251" spans="19:19" x14ac:dyDescent="0.25">
      <c r="S251" s="245"/>
    </row>
    <row r="252" spans="19:19" x14ac:dyDescent="0.25">
      <c r="S252" s="245"/>
    </row>
    <row r="253" spans="19:19" x14ac:dyDescent="0.25">
      <c r="S253" s="245"/>
    </row>
    <row r="254" spans="19:19" x14ac:dyDescent="0.25">
      <c r="S254" s="245"/>
    </row>
    <row r="255" spans="19:19" x14ac:dyDescent="0.25">
      <c r="S255" s="245"/>
    </row>
    <row r="256" spans="19:19" x14ac:dyDescent="0.25">
      <c r="S256" s="245"/>
    </row>
    <row r="257" spans="19:19" x14ac:dyDescent="0.25">
      <c r="S257" s="245"/>
    </row>
    <row r="258" spans="19:19" x14ac:dyDescent="0.25">
      <c r="S258" s="245"/>
    </row>
    <row r="259" spans="19:19" x14ac:dyDescent="0.25">
      <c r="S259" s="245"/>
    </row>
    <row r="260" spans="19:19" x14ac:dyDescent="0.25">
      <c r="S260" s="245"/>
    </row>
    <row r="261" spans="19:19" x14ac:dyDescent="0.25">
      <c r="S261" s="245"/>
    </row>
    <row r="262" spans="19:19" x14ac:dyDescent="0.25">
      <c r="S262" s="245"/>
    </row>
    <row r="263" spans="19:19" x14ac:dyDescent="0.25">
      <c r="S263" s="245"/>
    </row>
    <row r="264" spans="19:19" x14ac:dyDescent="0.25">
      <c r="S264" s="245"/>
    </row>
    <row r="265" spans="19:19" x14ac:dyDescent="0.25">
      <c r="S265" s="245"/>
    </row>
    <row r="266" spans="19:19" x14ac:dyDescent="0.25">
      <c r="S266" s="245"/>
    </row>
    <row r="267" spans="19:19" x14ac:dyDescent="0.25">
      <c r="S267" s="245"/>
    </row>
    <row r="268" spans="19:19" x14ac:dyDescent="0.25">
      <c r="S268" s="245"/>
    </row>
    <row r="269" spans="19:19" x14ac:dyDescent="0.25">
      <c r="S269" s="245"/>
    </row>
    <row r="270" spans="19:19" x14ac:dyDescent="0.25">
      <c r="S270" s="245"/>
    </row>
    <row r="271" spans="19:19" x14ac:dyDescent="0.25">
      <c r="S271" s="245"/>
    </row>
    <row r="272" spans="19:19" x14ac:dyDescent="0.25">
      <c r="S272" s="245"/>
    </row>
    <row r="273" spans="19:19" x14ac:dyDescent="0.25">
      <c r="S273" s="245"/>
    </row>
    <row r="274" spans="19:19" x14ac:dyDescent="0.25">
      <c r="S274" s="245"/>
    </row>
    <row r="275" spans="19:19" x14ac:dyDescent="0.25">
      <c r="S275" s="245"/>
    </row>
    <row r="276" spans="19:19" x14ac:dyDescent="0.25">
      <c r="S276" s="245"/>
    </row>
    <row r="277" spans="19:19" x14ac:dyDescent="0.25">
      <c r="S277" s="245"/>
    </row>
    <row r="278" spans="19:19" x14ac:dyDescent="0.25">
      <c r="S278" s="245"/>
    </row>
    <row r="279" spans="19:19" x14ac:dyDescent="0.25">
      <c r="S279" s="245"/>
    </row>
    <row r="280" spans="19:19" x14ac:dyDescent="0.25">
      <c r="S280" s="245"/>
    </row>
    <row r="281" spans="19:19" x14ac:dyDescent="0.25">
      <c r="S281" s="245"/>
    </row>
    <row r="282" spans="19:19" x14ac:dyDescent="0.25">
      <c r="S282" s="245"/>
    </row>
    <row r="283" spans="19:19" x14ac:dyDescent="0.25">
      <c r="S283" s="245"/>
    </row>
    <row r="284" spans="19:19" x14ac:dyDescent="0.25">
      <c r="S284" s="245"/>
    </row>
    <row r="285" spans="19:19" x14ac:dyDescent="0.25">
      <c r="S285" s="245"/>
    </row>
    <row r="286" spans="19:19" x14ac:dyDescent="0.25">
      <c r="S286" s="245"/>
    </row>
    <row r="287" spans="19:19" x14ac:dyDescent="0.25">
      <c r="S287" s="245"/>
    </row>
    <row r="288" spans="19:19" x14ac:dyDescent="0.25">
      <c r="S288" s="245"/>
    </row>
    <row r="289" spans="19:19" x14ac:dyDescent="0.25">
      <c r="S289" s="245"/>
    </row>
    <row r="290" spans="19:19" x14ac:dyDescent="0.25">
      <c r="S290" s="245"/>
    </row>
    <row r="291" spans="19:19" x14ac:dyDescent="0.25">
      <c r="S291" s="245"/>
    </row>
    <row r="292" spans="19:19" x14ac:dyDescent="0.25">
      <c r="S292" s="245"/>
    </row>
    <row r="293" spans="19:19" x14ac:dyDescent="0.25">
      <c r="S293" s="245"/>
    </row>
    <row r="294" spans="19:19" x14ac:dyDescent="0.25">
      <c r="S294" s="245"/>
    </row>
    <row r="295" spans="19:19" x14ac:dyDescent="0.25">
      <c r="S295" s="245"/>
    </row>
    <row r="296" spans="19:19" x14ac:dyDescent="0.25">
      <c r="S296" s="245"/>
    </row>
    <row r="297" spans="19:19" x14ac:dyDescent="0.25">
      <c r="S297" s="245"/>
    </row>
    <row r="298" spans="19:19" x14ac:dyDescent="0.25">
      <c r="S298" s="245"/>
    </row>
    <row r="299" spans="19:19" x14ac:dyDescent="0.25">
      <c r="S299" s="245"/>
    </row>
    <row r="300" spans="19:19" x14ac:dyDescent="0.25">
      <c r="S300" s="245"/>
    </row>
    <row r="301" spans="19:19" x14ac:dyDescent="0.25">
      <c r="S301" s="245"/>
    </row>
    <row r="302" spans="19:19" x14ac:dyDescent="0.25">
      <c r="S302" s="245"/>
    </row>
    <row r="303" spans="19:19" x14ac:dyDescent="0.25">
      <c r="S303" s="245"/>
    </row>
    <row r="304" spans="19:19" x14ac:dyDescent="0.25">
      <c r="S304" s="245"/>
    </row>
    <row r="305" spans="19:19" x14ac:dyDescent="0.25">
      <c r="S305" s="245"/>
    </row>
    <row r="306" spans="19:19" x14ac:dyDescent="0.25">
      <c r="S306" s="245"/>
    </row>
    <row r="307" spans="19:19" x14ac:dyDescent="0.25">
      <c r="S307" s="245"/>
    </row>
    <row r="308" spans="19:19" x14ac:dyDescent="0.25">
      <c r="S308" s="245"/>
    </row>
    <row r="309" spans="19:19" x14ac:dyDescent="0.25">
      <c r="S309" s="245"/>
    </row>
    <row r="310" spans="19:19" x14ac:dyDescent="0.25">
      <c r="S310" s="245"/>
    </row>
    <row r="311" spans="19:19" x14ac:dyDescent="0.25">
      <c r="S311" s="245"/>
    </row>
    <row r="312" spans="19:19" x14ac:dyDescent="0.25">
      <c r="S312" s="245"/>
    </row>
    <row r="313" spans="19:19" x14ac:dyDescent="0.25">
      <c r="S313" s="245"/>
    </row>
    <row r="314" spans="19:19" x14ac:dyDescent="0.25">
      <c r="S314" s="245"/>
    </row>
    <row r="315" spans="19:19" x14ac:dyDescent="0.25">
      <c r="S315" s="245"/>
    </row>
    <row r="316" spans="19:19" x14ac:dyDescent="0.25">
      <c r="S316" s="245"/>
    </row>
    <row r="317" spans="19:19" x14ac:dyDescent="0.25">
      <c r="S317" s="245"/>
    </row>
    <row r="318" spans="19:19" x14ac:dyDescent="0.25">
      <c r="S318" s="245"/>
    </row>
    <row r="319" spans="19:19" x14ac:dyDescent="0.25">
      <c r="S319" s="245"/>
    </row>
    <row r="320" spans="19:19" x14ac:dyDescent="0.25">
      <c r="S320" s="245"/>
    </row>
    <row r="321" spans="19:19" x14ac:dyDescent="0.25">
      <c r="S321" s="245"/>
    </row>
    <row r="322" spans="19:19" x14ac:dyDescent="0.25">
      <c r="S322" s="245"/>
    </row>
    <row r="323" spans="19:19" x14ac:dyDescent="0.25">
      <c r="S323" s="245"/>
    </row>
    <row r="324" spans="19:19" x14ac:dyDescent="0.25">
      <c r="S324" s="245"/>
    </row>
    <row r="325" spans="19:19" x14ac:dyDescent="0.25">
      <c r="S325" s="245"/>
    </row>
    <row r="326" spans="19:19" x14ac:dyDescent="0.25">
      <c r="S326" s="245"/>
    </row>
    <row r="327" spans="19:19" x14ac:dyDescent="0.25">
      <c r="S327" s="245"/>
    </row>
    <row r="328" spans="19:19" x14ac:dyDescent="0.25">
      <c r="S328" s="245"/>
    </row>
    <row r="329" spans="19:19" x14ac:dyDescent="0.25">
      <c r="S329" s="245"/>
    </row>
    <row r="330" spans="19:19" x14ac:dyDescent="0.25">
      <c r="S330" s="245"/>
    </row>
    <row r="331" spans="19:19" x14ac:dyDescent="0.25">
      <c r="S331" s="245"/>
    </row>
    <row r="332" spans="19:19" x14ac:dyDescent="0.25">
      <c r="S332" s="245"/>
    </row>
    <row r="333" spans="19:19" x14ac:dyDescent="0.25">
      <c r="S333" s="245"/>
    </row>
    <row r="334" spans="19:19" x14ac:dyDescent="0.25">
      <c r="S334" s="245"/>
    </row>
    <row r="335" spans="19:19" x14ac:dyDescent="0.25">
      <c r="S335" s="245"/>
    </row>
    <row r="336" spans="19:19" x14ac:dyDescent="0.25">
      <c r="S336" s="245"/>
    </row>
    <row r="337" spans="19:19" x14ac:dyDescent="0.25">
      <c r="S337" s="245"/>
    </row>
    <row r="338" spans="19:19" x14ac:dyDescent="0.25">
      <c r="S338" s="245"/>
    </row>
    <row r="339" spans="19:19" x14ac:dyDescent="0.25">
      <c r="S339" s="245"/>
    </row>
    <row r="340" spans="19:19" x14ac:dyDescent="0.25">
      <c r="S340" s="245"/>
    </row>
    <row r="341" spans="19:19" x14ac:dyDescent="0.25">
      <c r="S341" s="245"/>
    </row>
    <row r="342" spans="19:19" x14ac:dyDescent="0.25">
      <c r="S342" s="245"/>
    </row>
    <row r="343" spans="19:19" x14ac:dyDescent="0.25">
      <c r="S343" s="245"/>
    </row>
    <row r="344" spans="19:19" x14ac:dyDescent="0.25">
      <c r="S344" s="245"/>
    </row>
    <row r="345" spans="19:19" x14ac:dyDescent="0.25">
      <c r="S345" s="245"/>
    </row>
    <row r="346" spans="19:19" x14ac:dyDescent="0.25">
      <c r="S346" s="245"/>
    </row>
    <row r="347" spans="19:19" x14ac:dyDescent="0.25">
      <c r="S347" s="245"/>
    </row>
    <row r="348" spans="19:19" x14ac:dyDescent="0.25">
      <c r="S348" s="245"/>
    </row>
    <row r="349" spans="19:19" x14ac:dyDescent="0.25">
      <c r="S349" s="245"/>
    </row>
    <row r="350" spans="19:19" x14ac:dyDescent="0.25">
      <c r="S350" s="245"/>
    </row>
    <row r="351" spans="19:19" x14ac:dyDescent="0.25">
      <c r="S351" s="245"/>
    </row>
    <row r="352" spans="19:19" x14ac:dyDescent="0.25">
      <c r="S352" s="245"/>
    </row>
    <row r="353" spans="19:19" x14ac:dyDescent="0.25">
      <c r="S353" s="245"/>
    </row>
    <row r="354" spans="19:19" x14ac:dyDescent="0.25">
      <c r="S354" s="245"/>
    </row>
    <row r="355" spans="19:19" x14ac:dyDescent="0.25">
      <c r="S355" s="245"/>
    </row>
    <row r="356" spans="19:19" x14ac:dyDescent="0.25">
      <c r="S356" s="245"/>
    </row>
    <row r="357" spans="19:19" x14ac:dyDescent="0.25">
      <c r="S357" s="245"/>
    </row>
    <row r="358" spans="19:19" x14ac:dyDescent="0.25">
      <c r="S358" s="245"/>
    </row>
    <row r="359" spans="19:19" x14ac:dyDescent="0.25">
      <c r="S359" s="245"/>
    </row>
    <row r="360" spans="19:19" x14ac:dyDescent="0.25">
      <c r="S360" s="245"/>
    </row>
    <row r="361" spans="19:19" x14ac:dyDescent="0.25">
      <c r="S361" s="245"/>
    </row>
    <row r="362" spans="19:19" x14ac:dyDescent="0.25">
      <c r="S362" s="245"/>
    </row>
    <row r="363" spans="19:19" x14ac:dyDescent="0.25">
      <c r="S363" s="245"/>
    </row>
    <row r="364" spans="19:19" x14ac:dyDescent="0.25">
      <c r="S364" s="245"/>
    </row>
    <row r="365" spans="19:19" x14ac:dyDescent="0.25">
      <c r="S365" s="245"/>
    </row>
    <row r="366" spans="19:19" x14ac:dyDescent="0.25">
      <c r="S366" s="245"/>
    </row>
    <row r="367" spans="19:19" x14ac:dyDescent="0.25">
      <c r="S367" s="245"/>
    </row>
    <row r="368" spans="19:19" x14ac:dyDescent="0.25">
      <c r="S368" s="245"/>
    </row>
    <row r="369" spans="19:19" x14ac:dyDescent="0.25">
      <c r="S369" s="245"/>
    </row>
    <row r="370" spans="19:19" x14ac:dyDescent="0.25">
      <c r="S370" s="245"/>
    </row>
    <row r="371" spans="19:19" x14ac:dyDescent="0.25">
      <c r="S371" s="245"/>
    </row>
    <row r="372" spans="19:19" x14ac:dyDescent="0.25">
      <c r="S372" s="245"/>
    </row>
    <row r="373" spans="19:19" x14ac:dyDescent="0.25">
      <c r="S373" s="245"/>
    </row>
    <row r="374" spans="19:19" x14ac:dyDescent="0.25">
      <c r="S374" s="245"/>
    </row>
    <row r="375" spans="19:19" x14ac:dyDescent="0.25">
      <c r="S375" s="245"/>
    </row>
    <row r="376" spans="19:19" x14ac:dyDescent="0.25">
      <c r="S376" s="245"/>
    </row>
    <row r="377" spans="19:19" x14ac:dyDescent="0.25">
      <c r="S377" s="245"/>
    </row>
    <row r="378" spans="19:19" x14ac:dyDescent="0.25">
      <c r="S378" s="245"/>
    </row>
    <row r="379" spans="19:19" x14ac:dyDescent="0.25">
      <c r="S379" s="245"/>
    </row>
    <row r="380" spans="19:19" x14ac:dyDescent="0.25">
      <c r="S380" s="245"/>
    </row>
    <row r="381" spans="19:19" x14ac:dyDescent="0.25">
      <c r="S381" s="245"/>
    </row>
    <row r="382" spans="19:19" x14ac:dyDescent="0.25">
      <c r="S382" s="245"/>
    </row>
    <row r="383" spans="19:19" x14ac:dyDescent="0.25">
      <c r="S383" s="245"/>
    </row>
    <row r="384" spans="19:19" x14ac:dyDescent="0.25">
      <c r="S384" s="245"/>
    </row>
    <row r="385" spans="19:19" x14ac:dyDescent="0.25">
      <c r="S385" s="245"/>
    </row>
    <row r="386" spans="19:19" x14ac:dyDescent="0.25">
      <c r="S386" s="245"/>
    </row>
    <row r="387" spans="19:19" x14ac:dyDescent="0.25">
      <c r="S387" s="245"/>
    </row>
    <row r="388" spans="19:19" x14ac:dyDescent="0.25">
      <c r="S388" s="245"/>
    </row>
    <row r="389" spans="19:19" x14ac:dyDescent="0.25">
      <c r="S389" s="245"/>
    </row>
    <row r="390" spans="19:19" x14ac:dyDescent="0.25">
      <c r="S390" s="245"/>
    </row>
    <row r="391" spans="19:19" x14ac:dyDescent="0.25">
      <c r="S391" s="245"/>
    </row>
    <row r="392" spans="19:19" x14ac:dyDescent="0.25">
      <c r="S392" s="245"/>
    </row>
    <row r="393" spans="19:19" x14ac:dyDescent="0.25">
      <c r="S393" s="245"/>
    </row>
    <row r="394" spans="19:19" x14ac:dyDescent="0.25">
      <c r="S394" s="245"/>
    </row>
    <row r="395" spans="19:19" x14ac:dyDescent="0.25">
      <c r="S395" s="245"/>
    </row>
    <row r="396" spans="19:19" x14ac:dyDescent="0.25">
      <c r="S396" s="245"/>
    </row>
    <row r="397" spans="19:19" x14ac:dyDescent="0.25">
      <c r="S397" s="245"/>
    </row>
    <row r="398" spans="19:19" x14ac:dyDescent="0.25">
      <c r="S398" s="245"/>
    </row>
    <row r="399" spans="19:19" x14ac:dyDescent="0.25">
      <c r="S399" s="245"/>
    </row>
    <row r="400" spans="19:19" x14ac:dyDescent="0.25">
      <c r="S400" s="245"/>
    </row>
    <row r="401" spans="19:19" x14ac:dyDescent="0.25">
      <c r="S401" s="245"/>
    </row>
    <row r="402" spans="19:19" x14ac:dyDescent="0.25">
      <c r="S402" s="245"/>
    </row>
    <row r="403" spans="19:19" x14ac:dyDescent="0.25">
      <c r="S403" s="245"/>
    </row>
    <row r="404" spans="19:19" x14ac:dyDescent="0.25">
      <c r="S404" s="245"/>
    </row>
    <row r="405" spans="19:19" x14ac:dyDescent="0.25">
      <c r="S405" s="245"/>
    </row>
    <row r="406" spans="19:19" x14ac:dyDescent="0.25">
      <c r="S406" s="245"/>
    </row>
    <row r="407" spans="19:19" x14ac:dyDescent="0.25">
      <c r="S407" s="245"/>
    </row>
    <row r="408" spans="19:19" x14ac:dyDescent="0.25">
      <c r="S408" s="245"/>
    </row>
    <row r="409" spans="19:19" x14ac:dyDescent="0.25">
      <c r="S409" s="245"/>
    </row>
    <row r="410" spans="19:19" x14ac:dyDescent="0.25">
      <c r="S410" s="245"/>
    </row>
    <row r="411" spans="19:19" x14ac:dyDescent="0.25">
      <c r="S411" s="245"/>
    </row>
    <row r="412" spans="19:19" x14ac:dyDescent="0.25">
      <c r="S412" s="245"/>
    </row>
    <row r="413" spans="19:19" x14ac:dyDescent="0.25">
      <c r="S413" s="245"/>
    </row>
    <row r="414" spans="19:19" x14ac:dyDescent="0.25">
      <c r="S414" s="245"/>
    </row>
    <row r="415" spans="19:19" x14ac:dyDescent="0.25">
      <c r="S415" s="245"/>
    </row>
    <row r="416" spans="19:19" x14ac:dyDescent="0.25">
      <c r="S416" s="245"/>
    </row>
    <row r="417" spans="19:19" x14ac:dyDescent="0.25">
      <c r="S417" s="245"/>
    </row>
    <row r="418" spans="19:19" x14ac:dyDescent="0.25">
      <c r="S418" s="245"/>
    </row>
    <row r="419" spans="19:19" x14ac:dyDescent="0.25">
      <c r="S419" s="245"/>
    </row>
    <row r="420" spans="19:19" x14ac:dyDescent="0.25">
      <c r="S420" s="245"/>
    </row>
    <row r="421" spans="19:19" x14ac:dyDescent="0.25">
      <c r="S421" s="245"/>
    </row>
    <row r="422" spans="19:19" x14ac:dyDescent="0.25">
      <c r="S422" s="245"/>
    </row>
    <row r="423" spans="19:19" x14ac:dyDescent="0.25">
      <c r="S423" s="245"/>
    </row>
    <row r="424" spans="19:19" x14ac:dyDescent="0.25">
      <c r="S424" s="245"/>
    </row>
    <row r="425" spans="19:19" x14ac:dyDescent="0.25">
      <c r="S425" s="245"/>
    </row>
    <row r="426" spans="19:19" x14ac:dyDescent="0.25">
      <c r="S426" s="245"/>
    </row>
    <row r="427" spans="19:19" x14ac:dyDescent="0.25">
      <c r="S427" s="245"/>
    </row>
    <row r="428" spans="19:19" x14ac:dyDescent="0.25">
      <c r="S428" s="245"/>
    </row>
    <row r="429" spans="19:19" x14ac:dyDescent="0.25">
      <c r="S429" s="245"/>
    </row>
    <row r="430" spans="19:19" x14ac:dyDescent="0.25">
      <c r="S430" s="245"/>
    </row>
    <row r="431" spans="19:19" x14ac:dyDescent="0.25">
      <c r="S431" s="245"/>
    </row>
    <row r="432" spans="19:19" x14ac:dyDescent="0.25">
      <c r="S432" s="245"/>
    </row>
    <row r="433" spans="19:19" x14ac:dyDescent="0.25">
      <c r="S433" s="245"/>
    </row>
    <row r="434" spans="19:19" x14ac:dyDescent="0.25">
      <c r="S434" s="245"/>
    </row>
    <row r="435" spans="19:19" x14ac:dyDescent="0.25">
      <c r="S435" s="245"/>
    </row>
    <row r="436" spans="19:19" x14ac:dyDescent="0.25">
      <c r="S436" s="245"/>
    </row>
    <row r="437" spans="19:19" x14ac:dyDescent="0.25">
      <c r="S437" s="245"/>
    </row>
    <row r="438" spans="19:19" x14ac:dyDescent="0.25">
      <c r="S438" s="245"/>
    </row>
    <row r="439" spans="19:19" x14ac:dyDescent="0.25">
      <c r="S439" s="245"/>
    </row>
    <row r="440" spans="19:19" x14ac:dyDescent="0.25">
      <c r="S440" s="245"/>
    </row>
    <row r="441" spans="19:19" x14ac:dyDescent="0.25">
      <c r="S441" s="245"/>
    </row>
    <row r="442" spans="19:19" x14ac:dyDescent="0.25">
      <c r="S442" s="245"/>
    </row>
    <row r="443" spans="19:19" x14ac:dyDescent="0.25">
      <c r="S443" s="245"/>
    </row>
    <row r="444" spans="19:19" x14ac:dyDescent="0.25">
      <c r="S444" s="245"/>
    </row>
    <row r="445" spans="19:19" x14ac:dyDescent="0.25">
      <c r="S445" s="245"/>
    </row>
    <row r="446" spans="19:19" x14ac:dyDescent="0.25">
      <c r="S446" s="245"/>
    </row>
    <row r="447" spans="19:19" x14ac:dyDescent="0.25">
      <c r="S447" s="245"/>
    </row>
    <row r="448" spans="19:19" x14ac:dyDescent="0.25">
      <c r="S448" s="245"/>
    </row>
    <row r="449" spans="19:19" x14ac:dyDescent="0.25">
      <c r="S449" s="245"/>
    </row>
    <row r="450" spans="19:19" x14ac:dyDescent="0.25">
      <c r="S450" s="245"/>
    </row>
    <row r="451" spans="19:19" x14ac:dyDescent="0.25">
      <c r="S451" s="245"/>
    </row>
    <row r="452" spans="19:19" x14ac:dyDescent="0.25">
      <c r="S452" s="245"/>
    </row>
    <row r="453" spans="19:19" x14ac:dyDescent="0.25">
      <c r="S453" s="245"/>
    </row>
    <row r="454" spans="19:19" x14ac:dyDescent="0.25">
      <c r="S454" s="245"/>
    </row>
    <row r="455" spans="19:19" x14ac:dyDescent="0.25">
      <c r="S455" s="245"/>
    </row>
    <row r="456" spans="19:19" x14ac:dyDescent="0.25">
      <c r="S456" s="245"/>
    </row>
    <row r="457" spans="19:19" x14ac:dyDescent="0.25">
      <c r="S457" s="245"/>
    </row>
    <row r="458" spans="19:19" x14ac:dyDescent="0.25">
      <c r="S458" s="245"/>
    </row>
    <row r="459" spans="19:19" x14ac:dyDescent="0.25">
      <c r="S459" s="245"/>
    </row>
    <row r="460" spans="19:19" x14ac:dyDescent="0.25">
      <c r="S460" s="245"/>
    </row>
    <row r="461" spans="19:19" x14ac:dyDescent="0.25">
      <c r="S461" s="245"/>
    </row>
    <row r="462" spans="19:19" x14ac:dyDescent="0.25">
      <c r="S462" s="245"/>
    </row>
    <row r="463" spans="19:19" x14ac:dyDescent="0.25">
      <c r="S463" s="245"/>
    </row>
    <row r="464" spans="19:19" x14ac:dyDescent="0.25">
      <c r="S464" s="245"/>
    </row>
    <row r="465" spans="19:19" x14ac:dyDescent="0.25">
      <c r="S465" s="245"/>
    </row>
    <row r="466" spans="19:19" x14ac:dyDescent="0.25">
      <c r="S466" s="245"/>
    </row>
    <row r="467" spans="19:19" x14ac:dyDescent="0.25">
      <c r="S467" s="245"/>
    </row>
    <row r="468" spans="19:19" x14ac:dyDescent="0.25">
      <c r="S468" s="245"/>
    </row>
    <row r="469" spans="19:19" x14ac:dyDescent="0.25">
      <c r="S469" s="245"/>
    </row>
    <row r="470" spans="19:19" x14ac:dyDescent="0.25">
      <c r="S470" s="245"/>
    </row>
    <row r="471" spans="19:19" x14ac:dyDescent="0.25">
      <c r="S471" s="245"/>
    </row>
    <row r="472" spans="19:19" x14ac:dyDescent="0.25">
      <c r="S472" s="245"/>
    </row>
    <row r="473" spans="19:19" x14ac:dyDescent="0.25">
      <c r="S473" s="245"/>
    </row>
    <row r="474" spans="19:19" x14ac:dyDescent="0.25">
      <c r="S474" s="245"/>
    </row>
    <row r="475" spans="19:19" x14ac:dyDescent="0.25">
      <c r="S475" s="245"/>
    </row>
    <row r="476" spans="19:19" x14ac:dyDescent="0.25">
      <c r="S476" s="245"/>
    </row>
    <row r="477" spans="19:19" x14ac:dyDescent="0.25">
      <c r="S477" s="245"/>
    </row>
    <row r="478" spans="19:19" x14ac:dyDescent="0.25">
      <c r="S478" s="245"/>
    </row>
    <row r="479" spans="19:19" x14ac:dyDescent="0.25">
      <c r="S479" s="245"/>
    </row>
    <row r="480" spans="19:19" x14ac:dyDescent="0.25">
      <c r="S480" s="245"/>
    </row>
    <row r="481" spans="19:19" x14ac:dyDescent="0.25">
      <c r="S481" s="245"/>
    </row>
    <row r="482" spans="19:19" x14ac:dyDescent="0.25">
      <c r="S482" s="245"/>
    </row>
    <row r="483" spans="19:19" x14ac:dyDescent="0.25">
      <c r="S483" s="245"/>
    </row>
    <row r="484" spans="19:19" x14ac:dyDescent="0.25">
      <c r="S484" s="245"/>
    </row>
    <row r="485" spans="19:19" x14ac:dyDescent="0.25">
      <c r="S485" s="245"/>
    </row>
    <row r="486" spans="19:19" x14ac:dyDescent="0.25">
      <c r="S486" s="245"/>
    </row>
    <row r="487" spans="19:19" x14ac:dyDescent="0.25">
      <c r="S487" s="245"/>
    </row>
    <row r="488" spans="19:19" x14ac:dyDescent="0.25">
      <c r="S488" s="245"/>
    </row>
    <row r="489" spans="19:19" x14ac:dyDescent="0.25">
      <c r="S489" s="245"/>
    </row>
  </sheetData>
  <sheetProtection selectLockedCells="1" selectUnlockedCells="1"/>
  <sortState xmlns:xlrd2="http://schemas.microsoft.com/office/spreadsheetml/2017/richdata2" ref="Y3:Y99">
    <sortCondition ref="Y3:Y99"/>
  </sortState>
  <phoneticPr fontId="75" type="noConversion"/>
  <conditionalFormatting sqref="F2:F12">
    <cfRule type="duplicateValues" dxfId="6397" priority="4364"/>
  </conditionalFormatting>
  <conditionalFormatting sqref="H3:H10">
    <cfRule type="duplicateValues" dxfId="6396" priority="4695"/>
  </conditionalFormatting>
  <conditionalFormatting sqref="O2">
    <cfRule type="duplicateValues" dxfId="6395" priority="71"/>
  </conditionalFormatting>
  <conditionalFormatting sqref="Q32">
    <cfRule type="duplicateValues" dxfId="6394" priority="69"/>
  </conditionalFormatting>
  <conditionalFormatting sqref="T38">
    <cfRule type="duplicateValues" dxfId="6393" priority="65"/>
  </conditionalFormatting>
  <conditionalFormatting sqref="S22:S32">
    <cfRule type="duplicateValues" dxfId="6392" priority="64"/>
  </conditionalFormatting>
  <conditionalFormatting sqref="O3">
    <cfRule type="duplicateValues" dxfId="6391" priority="63"/>
  </conditionalFormatting>
  <conditionalFormatting sqref="O4">
    <cfRule type="duplicateValues" dxfId="6390" priority="62"/>
  </conditionalFormatting>
  <conditionalFormatting sqref="O5">
    <cfRule type="duplicateValues" dxfId="6389" priority="61"/>
  </conditionalFormatting>
  <conditionalFormatting sqref="O6">
    <cfRule type="duplicateValues" dxfId="6388" priority="60"/>
  </conditionalFormatting>
  <conditionalFormatting sqref="O7">
    <cfRule type="duplicateValues" dxfId="6387" priority="59"/>
  </conditionalFormatting>
  <conditionalFormatting sqref="O8">
    <cfRule type="duplicateValues" dxfId="6386" priority="58"/>
  </conditionalFormatting>
  <conditionalFormatting sqref="O9">
    <cfRule type="duplicateValues" dxfId="6385" priority="57"/>
  </conditionalFormatting>
  <conditionalFormatting sqref="O10">
    <cfRule type="duplicateValues" dxfId="6384" priority="56"/>
  </conditionalFormatting>
  <conditionalFormatting sqref="O11">
    <cfRule type="duplicateValues" dxfId="6383" priority="55"/>
  </conditionalFormatting>
  <conditionalFormatting sqref="O12">
    <cfRule type="duplicateValues" dxfId="6382" priority="53"/>
  </conditionalFormatting>
  <conditionalFormatting sqref="O13">
    <cfRule type="duplicateValues" dxfId="6381" priority="52"/>
  </conditionalFormatting>
  <conditionalFormatting sqref="O14">
    <cfRule type="duplicateValues" dxfId="6380" priority="51"/>
  </conditionalFormatting>
  <conditionalFormatting sqref="O15">
    <cfRule type="duplicateValues" dxfId="6379" priority="49"/>
  </conditionalFormatting>
  <conditionalFormatting sqref="O16">
    <cfRule type="duplicateValues" dxfId="6378" priority="48"/>
  </conditionalFormatting>
  <conditionalFormatting sqref="O19">
    <cfRule type="duplicateValues" dxfId="6377" priority="45"/>
  </conditionalFormatting>
  <conditionalFormatting sqref="O22">
    <cfRule type="duplicateValues" dxfId="6376" priority="40"/>
  </conditionalFormatting>
  <conditionalFormatting sqref="O23">
    <cfRule type="duplicateValues" dxfId="6375" priority="39"/>
  </conditionalFormatting>
  <conditionalFormatting sqref="O24">
    <cfRule type="duplicateValues" dxfId="6374" priority="38"/>
  </conditionalFormatting>
  <conditionalFormatting sqref="O25">
    <cfRule type="duplicateValues" dxfId="6373" priority="37"/>
  </conditionalFormatting>
  <conditionalFormatting sqref="O26">
    <cfRule type="duplicateValues" dxfId="6372" priority="36"/>
  </conditionalFormatting>
  <conditionalFormatting sqref="O27">
    <cfRule type="duplicateValues" dxfId="6371" priority="34"/>
  </conditionalFormatting>
  <conditionalFormatting sqref="O28">
    <cfRule type="duplicateValues" dxfId="6370" priority="32"/>
  </conditionalFormatting>
  <conditionalFormatting sqref="O29">
    <cfRule type="duplicateValues" dxfId="6369" priority="31"/>
  </conditionalFormatting>
  <conditionalFormatting sqref="O30">
    <cfRule type="duplicateValues" dxfId="6368" priority="30"/>
  </conditionalFormatting>
  <conditionalFormatting sqref="O31">
    <cfRule type="duplicateValues" dxfId="6367" priority="29"/>
  </conditionalFormatting>
  <conditionalFormatting sqref="O32">
    <cfRule type="duplicateValues" dxfId="6366" priority="28"/>
  </conditionalFormatting>
  <conditionalFormatting sqref="O33">
    <cfRule type="duplicateValues" dxfId="6365" priority="27"/>
  </conditionalFormatting>
  <conditionalFormatting sqref="X2">
    <cfRule type="duplicateValues" dxfId="6364" priority="22"/>
  </conditionalFormatting>
  <conditionalFormatting sqref="W2">
    <cfRule type="duplicateValues" dxfId="6363" priority="18"/>
  </conditionalFormatting>
  <conditionalFormatting sqref="S18:S21">
    <cfRule type="duplicateValues" dxfId="6362" priority="17"/>
  </conditionalFormatting>
  <conditionalFormatting sqref="S40:S43">
    <cfRule type="duplicateValues" dxfId="6361" priority="16"/>
  </conditionalFormatting>
  <conditionalFormatting sqref="S44:S45">
    <cfRule type="duplicateValues" dxfId="6360" priority="15"/>
  </conditionalFormatting>
  <conditionalFormatting sqref="O34:O36">
    <cfRule type="duplicateValues" dxfId="6359" priority="14"/>
  </conditionalFormatting>
  <conditionalFormatting sqref="Q33">
    <cfRule type="duplicateValues" dxfId="6358" priority="12"/>
  </conditionalFormatting>
  <conditionalFormatting sqref="Y38:Y50">
    <cfRule type="duplicateValues" dxfId="6357" priority="4828"/>
  </conditionalFormatting>
  <conditionalFormatting sqref="U10">
    <cfRule type="duplicateValues" dxfId="6356" priority="6"/>
  </conditionalFormatting>
  <conditionalFormatting sqref="U35:U38 U27:U30">
    <cfRule type="duplicateValues" dxfId="6355" priority="4849"/>
  </conditionalFormatting>
  <conditionalFormatting sqref="U39:U40">
    <cfRule type="duplicateValues" dxfId="6354" priority="4850"/>
  </conditionalFormatting>
  <conditionalFormatting sqref="U39">
    <cfRule type="duplicateValues" dxfId="6353" priority="4852"/>
  </conditionalFormatting>
  <conditionalFormatting sqref="U30">
    <cfRule type="duplicateValues" dxfId="6352" priority="4917"/>
  </conditionalFormatting>
  <conditionalFormatting sqref="U31:U34">
    <cfRule type="duplicateValues" dxfId="6351" priority="4918"/>
  </conditionalFormatting>
  <conditionalFormatting sqref="O17">
    <cfRule type="duplicateValues" dxfId="6350" priority="4921"/>
  </conditionalFormatting>
  <conditionalFormatting sqref="O18">
    <cfRule type="duplicateValues" dxfId="6349" priority="4922"/>
  </conditionalFormatting>
  <conditionalFormatting sqref="P43:P46">
    <cfRule type="duplicateValues" dxfId="6348" priority="4923"/>
  </conditionalFormatting>
  <conditionalFormatting sqref="V33">
    <cfRule type="duplicateValues" dxfId="6347" priority="5"/>
  </conditionalFormatting>
  <conditionalFormatting sqref="S35:S38 S2:S3">
    <cfRule type="duplicateValues" dxfId="6346" priority="4968"/>
  </conditionalFormatting>
  <conditionalFormatting sqref="X63:X65">
    <cfRule type="duplicateValues" dxfId="6345" priority="5019"/>
  </conditionalFormatting>
  <conditionalFormatting sqref="X36:X40 U27:U29 P2:P3 N2 X5 S2:T3 T34:T37 T39:T53 Z4:Z95 Y2:Z3">
    <cfRule type="duplicateValues" dxfId="6344" priority="5046"/>
  </conditionalFormatting>
  <conditionalFormatting sqref="Y5">
    <cfRule type="duplicateValues" dxfId="6343" priority="4"/>
  </conditionalFormatting>
  <conditionalFormatting sqref="V31:V32 S33:S34 U2:U9 P4:P34 Q3:Q31 S4:T6 T7:T33 X6:X35 W3:W32 Y4 U11:U26 S7 S15:S17 Y6:Y9 Y11:Y34">
    <cfRule type="duplicateValues" dxfId="6342" priority="5058"/>
  </conditionalFormatting>
  <conditionalFormatting sqref="Y10">
    <cfRule type="duplicateValues" dxfId="6341" priority="2"/>
  </conditionalFormatting>
  <conditionalFormatting sqref="Y35">
    <cfRule type="duplicateValues" dxfId="6340" priority="1"/>
  </conditionalFormatting>
  <conditionalFormatting sqref="F7:F12 B2 A2:A8 E3:E19 D2:D7 C2:C10 I2:J6 J7 J9 I7:I11 K2:L11 G2 F3:G6 G7:G16 E21:E25">
    <cfRule type="duplicateValues" dxfId="0" priority="5059"/>
  </conditionalFormatting>
  <hyperlinks>
    <hyperlink ref="Y35" r:id="rId1" display="https://workload-measurement.hmpps.service.justice.gov.uk/probation/team/4204" xr:uid="{FF3C7A8F-6407-45F8-83F2-36DE1CD65E10}"/>
    <hyperlink ref="Y65"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14" activePane="bottomLeft" state="frozen"/>
      <selection activeCell="B20" sqref="B20"/>
      <selection pane="bottomLeft" activeCell="G28" sqref="G28"/>
    </sheetView>
  </sheetViews>
  <sheetFormatPr defaultColWidth="8.85546875" defaultRowHeight="15" x14ac:dyDescent="0.25"/>
  <cols>
    <col min="1" max="1" width="31.85546875" bestFit="1" customWidth="1"/>
    <col min="2" max="2" width="53.42578125" customWidth="1"/>
    <col min="3" max="3" width="21" customWidth="1"/>
    <col min="4" max="4" width="20.42578125" customWidth="1"/>
    <col min="5" max="5" width="12.42578125" customWidth="1"/>
    <col min="6" max="6" width="17.42578125" style="226" bestFit="1" customWidth="1"/>
    <col min="7" max="7" width="13.42578125" bestFit="1" customWidth="1"/>
    <col min="8" max="8" width="18.42578125" bestFit="1" customWidth="1"/>
    <col min="9" max="9" width="15.42578125" bestFit="1" customWidth="1"/>
    <col min="10" max="10" width="18.42578125" bestFit="1" customWidth="1"/>
    <col min="11" max="12" width="11" customWidth="1"/>
    <col min="13" max="13" width="14.42578125" style="225" customWidth="1"/>
    <col min="14" max="14" width="11.85546875" bestFit="1" customWidth="1"/>
    <col min="15" max="15" width="31.42578125" bestFit="1" customWidth="1"/>
    <col min="16" max="16" width="26.85546875" customWidth="1"/>
    <col min="17" max="17" width="15.42578125" customWidth="1"/>
    <col min="18" max="18" width="19.42578125" customWidth="1"/>
    <col min="19" max="19" width="13.85546875" bestFit="1" customWidth="1"/>
    <col min="20" max="20" width="15.85546875" customWidth="1"/>
    <col min="21" max="21" width="12.42578125" customWidth="1"/>
  </cols>
  <sheetData>
    <row r="1" spans="1:21" ht="45" customHeight="1" x14ac:dyDescent="0.25">
      <c r="A1" s="216" t="s">
        <v>853</v>
      </c>
      <c r="B1" s="216" t="s">
        <v>854</v>
      </c>
      <c r="C1" s="216" t="s">
        <v>855</v>
      </c>
      <c r="D1" s="216" t="s">
        <v>856</v>
      </c>
      <c r="E1" s="216" t="s">
        <v>857</v>
      </c>
      <c r="F1" s="216" t="s">
        <v>858</v>
      </c>
      <c r="G1" s="216" t="s">
        <v>859</v>
      </c>
      <c r="H1" s="216" t="s">
        <v>860</v>
      </c>
      <c r="I1" s="216" t="s">
        <v>861</v>
      </c>
      <c r="J1" s="216" t="s">
        <v>862</v>
      </c>
      <c r="K1" s="216" t="s">
        <v>863</v>
      </c>
      <c r="L1" s="216" t="s">
        <v>864</v>
      </c>
      <c r="M1" s="216" t="s">
        <v>865</v>
      </c>
      <c r="O1" s="23" t="s">
        <v>866</v>
      </c>
      <c r="P1" s="43" t="s">
        <v>867</v>
      </c>
      <c r="Q1" s="44" t="s">
        <v>868</v>
      </c>
      <c r="R1" s="44" t="s">
        <v>869</v>
      </c>
      <c r="S1" s="45" t="s">
        <v>870</v>
      </c>
      <c r="T1" s="45" t="s">
        <v>871</v>
      </c>
      <c r="U1" s="190" t="s">
        <v>872</v>
      </c>
    </row>
    <row r="2" spans="1:21" ht="15.75" x14ac:dyDescent="0.25">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row>
    <row r="3" spans="1:21" ht="15.75" x14ac:dyDescent="0.25">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row>
    <row r="4" spans="1:21" ht="15.75" x14ac:dyDescent="0.25">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row>
    <row r="5" spans="1:21" ht="15.75" x14ac:dyDescent="0.25">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row>
    <row r="6" spans="1:21" ht="15.75" x14ac:dyDescent="0.25">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row>
    <row r="7" spans="1:21" ht="15.75" x14ac:dyDescent="0.25">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row>
    <row r="8" spans="1:21" ht="15.75" x14ac:dyDescent="0.25">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row>
    <row r="9" spans="1:21" ht="15.75" x14ac:dyDescent="0.25">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row>
    <row r="10" spans="1:21" ht="15.75" x14ac:dyDescent="0.25">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row>
    <row r="11" spans="1:21" ht="15.75" x14ac:dyDescent="0.25">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row>
    <row r="12" spans="1:21" ht="15.75" x14ac:dyDescent="0.25">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row>
    <row r="13" spans="1:21" ht="15.75" x14ac:dyDescent="0.25">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row>
    <row r="14" spans="1:21" ht="15.75" x14ac:dyDescent="0.25">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row>
    <row r="15" spans="1:21" ht="15.75" x14ac:dyDescent="0.25">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row>
    <row r="16" spans="1:21" ht="15.75" x14ac:dyDescent="0.25">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row>
    <row r="17" spans="15:21" ht="15.75" x14ac:dyDescent="0.25">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row>
    <row r="18" spans="15:21" ht="15.75" x14ac:dyDescent="0.25">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row>
    <row r="19" spans="15:21" ht="15.75" x14ac:dyDescent="0.25">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row>
    <row r="20" spans="15:21" ht="15.75" x14ac:dyDescent="0.25">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row>
    <row r="21" spans="15:21" ht="15.75" x14ac:dyDescent="0.25">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row>
    <row r="22" spans="15:21" ht="15.75" x14ac:dyDescent="0.25">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row>
    <row r="23" spans="15:21" ht="15.75" x14ac:dyDescent="0.25">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row>
    <row r="24" spans="15:21" ht="15.75" x14ac:dyDescent="0.25">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row>
    <row r="25" spans="15:21" ht="15.75" x14ac:dyDescent="0.25">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row>
    <row r="26" spans="15:21" ht="15.75" x14ac:dyDescent="0.25">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row>
    <row r="27" spans="15:21" ht="15.75" x14ac:dyDescent="0.25">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row>
    <row r="28" spans="15:21" ht="15.75" x14ac:dyDescent="0.25">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row>
    <row r="29" spans="15:21" ht="15.75" x14ac:dyDescent="0.25">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row>
    <row r="30" spans="15:21" ht="15.75" x14ac:dyDescent="0.25">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row>
    <row r="31" spans="15:21" ht="15.75" x14ac:dyDescent="0.25">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row>
    <row r="32" spans="15:21" ht="15.75" x14ac:dyDescent="0.25">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row>
    <row r="33" spans="15:21" ht="15.75" x14ac:dyDescent="0.25">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row>
    <row r="34" spans="15:21" ht="15.75" x14ac:dyDescent="0.25">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row>
    <row r="35" spans="15:21" ht="15.75" x14ac:dyDescent="0.25">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row>
    <row r="36" spans="15:21" ht="15.75" x14ac:dyDescent="0.25">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row>
    <row r="37" spans="15:21" ht="15.75" x14ac:dyDescent="0.25">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row>
    <row r="38" spans="15:21" ht="15.75" x14ac:dyDescent="0.25">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row>
    <row r="39" spans="15:21" ht="15.75" x14ac:dyDescent="0.25">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row>
    <row r="40" spans="15:21" ht="15.75" x14ac:dyDescent="0.25">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row>
    <row r="41" spans="15:21" ht="15.75" x14ac:dyDescent="0.25">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row>
    <row r="42" spans="15:21" ht="15.75" x14ac:dyDescent="0.25">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row>
    <row r="43" spans="15:21" ht="15.75" x14ac:dyDescent="0.25">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row>
    <row r="44" spans="15:21" ht="15.75" x14ac:dyDescent="0.25">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row>
    <row r="45" spans="15:21" ht="15.75" x14ac:dyDescent="0.25">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row>
    <row r="46" spans="15:21" ht="15.75" x14ac:dyDescent="0.25">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row>
    <row r="47" spans="15:21" ht="15.75" x14ac:dyDescent="0.25">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row>
    <row r="48" spans="15:21" ht="15.75" x14ac:dyDescent="0.25">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row>
    <row r="49" spans="15:21" ht="15.75" x14ac:dyDescent="0.25">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row>
    <row r="50" spans="15:21" ht="15.75" x14ac:dyDescent="0.25">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row>
    <row r="51" spans="15:21" ht="15.75" x14ac:dyDescent="0.25">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row>
    <row r="52" spans="15:21" ht="15.75" x14ac:dyDescent="0.25">
      <c r="O52" s="23" t="s">
        <v>21</v>
      </c>
      <c r="P52" t="s">
        <v>284</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row>
    <row r="53" spans="15:21" ht="15.75" x14ac:dyDescent="0.25">
      <c r="O53" s="23" t="s">
        <v>21</v>
      </c>
      <c r="P53" t="s">
        <v>300</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row>
    <row r="54" spans="15:21" ht="15.75" x14ac:dyDescent="0.25">
      <c r="O54" s="23" t="s">
        <v>21</v>
      </c>
      <c r="P54" t="s">
        <v>313</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row>
    <row r="55" spans="15:21" ht="15.75" x14ac:dyDescent="0.25">
      <c r="O55" s="23" t="s">
        <v>21</v>
      </c>
      <c r="P55" t="s">
        <v>327</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row>
    <row r="56" spans="15:21" ht="15.75" x14ac:dyDescent="0.25">
      <c r="O56" s="23" t="s">
        <v>21</v>
      </c>
      <c r="P56" t="s">
        <v>341</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row>
    <row r="57" spans="15:21" ht="15.75" x14ac:dyDescent="0.25">
      <c r="O57" s="23" t="s">
        <v>21</v>
      </c>
      <c r="P57" t="s">
        <v>354</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row>
    <row r="58" spans="15:21" ht="15.75" x14ac:dyDescent="0.25">
      <c r="O58" s="23" t="s">
        <v>21</v>
      </c>
      <c r="P58" t="s">
        <v>366</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row>
    <row r="59" spans="15:21" ht="15.75" x14ac:dyDescent="0.25">
      <c r="O59" s="23" t="s">
        <v>21</v>
      </c>
      <c r="P59" t="s">
        <v>377</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row>
    <row r="60" spans="15:21" ht="15.75" x14ac:dyDescent="0.25">
      <c r="O60" s="23" t="s">
        <v>21</v>
      </c>
      <c r="P60" t="s">
        <v>386</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row>
    <row r="61" spans="15:21" ht="15.75" x14ac:dyDescent="0.25">
      <c r="O61" s="23" t="s">
        <v>21</v>
      </c>
      <c r="P61" t="s">
        <v>395</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row>
    <row r="62" spans="15:21" ht="15.75" x14ac:dyDescent="0.25">
      <c r="O62" s="23" t="s">
        <v>21</v>
      </c>
      <c r="P62" t="s">
        <v>406</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row>
    <row r="63" spans="15:21" ht="15.75" x14ac:dyDescent="0.25">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row>
    <row r="64" spans="15:21" ht="15.75" x14ac:dyDescent="0.25">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row>
    <row r="65" spans="15:21" ht="15.75" x14ac:dyDescent="0.25">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row>
    <row r="66" spans="15:21" ht="15.75" x14ac:dyDescent="0.25">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row>
    <row r="67" spans="15:21" ht="15.75" x14ac:dyDescent="0.25">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row>
    <row r="68" spans="15:21" ht="15.75" x14ac:dyDescent="0.25">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row>
    <row r="69" spans="15:21" ht="15.75" x14ac:dyDescent="0.25">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row>
    <row r="70" spans="15:21" ht="15.75" x14ac:dyDescent="0.25">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row>
    <row r="71" spans="15:21" ht="15.75" x14ac:dyDescent="0.25">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row>
    <row r="72" spans="15:21" ht="15.75" x14ac:dyDescent="0.25">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row>
    <row r="73" spans="15:21" ht="15.75" x14ac:dyDescent="0.25">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row>
    <row r="74" spans="15:21" ht="15.75" x14ac:dyDescent="0.25">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row>
    <row r="75" spans="15:21" ht="15.75" x14ac:dyDescent="0.25">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row>
    <row r="76" spans="15:21" ht="15.75" x14ac:dyDescent="0.25">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row>
    <row r="77" spans="15:21" ht="15.75" x14ac:dyDescent="0.25">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row>
    <row r="78" spans="15:21" ht="15.75" x14ac:dyDescent="0.25">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row>
    <row r="79" spans="15:21" ht="15.75" x14ac:dyDescent="0.25">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row>
    <row r="80" spans="15:21" ht="15.75" x14ac:dyDescent="0.25">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row>
    <row r="81" spans="15:21" ht="15.75" x14ac:dyDescent="0.25">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row>
    <row r="82" spans="15:21" ht="15.75" x14ac:dyDescent="0.25">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row>
    <row r="83" spans="15:21" ht="15.75" x14ac:dyDescent="0.25">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row>
    <row r="84" spans="15:21" ht="15.75" x14ac:dyDescent="0.25">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row>
    <row r="85" spans="15:21" ht="15.75" x14ac:dyDescent="0.25">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row>
    <row r="86" spans="15:21" ht="15.75" x14ac:dyDescent="0.25">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row>
    <row r="87" spans="15:21" ht="15.75" x14ac:dyDescent="0.25">
      <c r="O87" s="23" t="s">
        <v>23</v>
      </c>
      <c r="P87" t="s">
        <v>285</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row>
    <row r="88" spans="15:21" ht="15.75" x14ac:dyDescent="0.25">
      <c r="O88" s="23" t="s">
        <v>23</v>
      </c>
      <c r="P88" t="s">
        <v>301</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row>
    <row r="89" spans="15:21" ht="15.75" x14ac:dyDescent="0.25">
      <c r="O89" s="23" t="s">
        <v>23</v>
      </c>
      <c r="P89" t="s">
        <v>314</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row>
    <row r="90" spans="15:21" ht="15.75" x14ac:dyDescent="0.25">
      <c r="O90" s="23" t="s">
        <v>23</v>
      </c>
      <c r="P90" t="s">
        <v>328</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row>
    <row r="91" spans="15:21" ht="15.75" x14ac:dyDescent="0.25">
      <c r="O91" s="23" t="s">
        <v>23</v>
      </c>
      <c r="P91" t="s">
        <v>342</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row>
    <row r="92" spans="15:21" ht="15.75" x14ac:dyDescent="0.25">
      <c r="O92" s="23" t="s">
        <v>23</v>
      </c>
      <c r="P92" t="s">
        <v>355</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row>
    <row r="93" spans="15:21" ht="15.75" x14ac:dyDescent="0.25">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row>
    <row r="94" spans="15:21" ht="15.75" x14ac:dyDescent="0.25">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row>
    <row r="95" spans="15:21" ht="15.75" x14ac:dyDescent="0.25">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row>
    <row r="96" spans="15:21" ht="15.75" x14ac:dyDescent="0.25">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row>
    <row r="97" spans="15:21" ht="15.75" x14ac:dyDescent="0.25">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row>
    <row r="98" spans="15:21" ht="15.75" x14ac:dyDescent="0.25">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row>
    <row r="99" spans="15:21" ht="15.75" x14ac:dyDescent="0.25">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row>
    <row r="100" spans="15:21" ht="15.75" x14ac:dyDescent="0.25">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row>
    <row r="101" spans="15:21" ht="15.75" x14ac:dyDescent="0.25">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row>
    <row r="102" spans="15:21" ht="15.75" x14ac:dyDescent="0.25">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row>
    <row r="103" spans="15:21" ht="15.75" x14ac:dyDescent="0.25">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row>
    <row r="104" spans="15:21" ht="15.75" x14ac:dyDescent="0.25">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row>
    <row r="105" spans="15:21" ht="15.75" x14ac:dyDescent="0.25">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row>
    <row r="106" spans="15:21" ht="15.75" x14ac:dyDescent="0.25">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row>
    <row r="107" spans="15:21" ht="15.75" x14ac:dyDescent="0.25">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row>
    <row r="108" spans="15:21" ht="15.75" x14ac:dyDescent="0.25">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row>
    <row r="109" spans="15:21" ht="15.75" x14ac:dyDescent="0.25">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row>
    <row r="110" spans="15:21" ht="15.75" x14ac:dyDescent="0.25">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row>
    <row r="111" spans="15:21" ht="15.75" x14ac:dyDescent="0.25">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row>
    <row r="112" spans="15:21" ht="15.75" x14ac:dyDescent="0.25">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row>
    <row r="113" spans="15:21" ht="15.75" x14ac:dyDescent="0.25">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row>
    <row r="114" spans="15:21" ht="15.75" x14ac:dyDescent="0.25">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row>
    <row r="115" spans="15:21" ht="15.75" x14ac:dyDescent="0.25">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row>
    <row r="116" spans="15:21" ht="15.75" x14ac:dyDescent="0.25">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row>
    <row r="117" spans="15:21" ht="15.75" x14ac:dyDescent="0.25">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row>
    <row r="118" spans="15:21" ht="15.75" x14ac:dyDescent="0.25">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row>
    <row r="119" spans="15:21" ht="15.75" x14ac:dyDescent="0.25">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row>
    <row r="120" spans="15:21" ht="15.75" x14ac:dyDescent="0.25">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row>
    <row r="121" spans="15:21" ht="15.75" x14ac:dyDescent="0.25">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row>
    <row r="122" spans="15:21" ht="15.75" x14ac:dyDescent="0.25">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row>
    <row r="123" spans="15:21" ht="15.75" x14ac:dyDescent="0.25">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row>
    <row r="124" spans="15:21" ht="15.75" x14ac:dyDescent="0.25">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row>
    <row r="125" spans="15:21" ht="15.75" x14ac:dyDescent="0.25">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row>
    <row r="126" spans="15:21" ht="15.75" x14ac:dyDescent="0.25">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row>
    <row r="127" spans="15:21" ht="15.75" x14ac:dyDescent="0.25">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row>
    <row r="128" spans="15:21" ht="15.75" x14ac:dyDescent="0.25">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row>
    <row r="129" spans="15:21" ht="15.75" x14ac:dyDescent="0.25">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row>
    <row r="130" spans="15:21" ht="15.75" x14ac:dyDescent="0.25">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row>
    <row r="131" spans="15:21" ht="15.75" x14ac:dyDescent="0.25">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row>
    <row r="132" spans="15:21" ht="15.75" x14ac:dyDescent="0.25">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row>
    <row r="133" spans="15:21" ht="15.75" x14ac:dyDescent="0.25">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row>
    <row r="134" spans="15:21" ht="15.75" x14ac:dyDescent="0.25">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row>
    <row r="135" spans="15:21" ht="15.75" x14ac:dyDescent="0.25">
      <c r="O135" s="23" t="s">
        <v>28</v>
      </c>
      <c r="P135" t="s">
        <v>873</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row>
    <row r="136" spans="15:21" ht="15.75" x14ac:dyDescent="0.25">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row>
    <row r="137" spans="15:21" ht="15.75" x14ac:dyDescent="0.25">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row>
    <row r="138" spans="15:21" ht="15.75" x14ac:dyDescent="0.25">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row>
    <row r="139" spans="15:21" ht="15.75" x14ac:dyDescent="0.25">
      <c r="O139" s="23" t="s">
        <v>28</v>
      </c>
      <c r="P139" t="s">
        <v>874</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row>
    <row r="140" spans="15:21" ht="15.75" x14ac:dyDescent="0.25">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row>
    <row r="141" spans="15:21" ht="15.75" x14ac:dyDescent="0.25">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row>
    <row r="142" spans="15:21" ht="15.75" x14ac:dyDescent="0.25">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row>
    <row r="143" spans="15:21" ht="15.75" x14ac:dyDescent="0.25">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row>
    <row r="144" spans="15:21" ht="15.75" x14ac:dyDescent="0.25">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row>
    <row r="145" spans="15:21" ht="15.75" x14ac:dyDescent="0.25">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row>
    <row r="146" spans="15:21" ht="15.75" x14ac:dyDescent="0.25">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row>
    <row r="147" spans="15:21" ht="15.75" x14ac:dyDescent="0.25">
      <c r="O147" s="23" t="s">
        <v>28</v>
      </c>
      <c r="P147" t="s">
        <v>875</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row>
    <row r="148" spans="15:21" ht="15.75" x14ac:dyDescent="0.25">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row>
    <row r="149" spans="15:21" ht="15.75" x14ac:dyDescent="0.25">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row>
    <row r="150" spans="15:21" ht="15.75" x14ac:dyDescent="0.25">
      <c r="O150" s="23" t="s">
        <v>28</v>
      </c>
      <c r="P150" t="s">
        <v>287</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row>
    <row r="151" spans="15:21" ht="15.75" x14ac:dyDescent="0.25">
      <c r="O151" s="23" t="s">
        <v>28</v>
      </c>
      <c r="P151" t="s">
        <v>302</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row>
    <row r="152" spans="15:21" ht="15.75" x14ac:dyDescent="0.25">
      <c r="O152" s="23" t="s">
        <v>28</v>
      </c>
      <c r="P152" t="s">
        <v>315</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row>
    <row r="153" spans="15:21" ht="15.75" x14ac:dyDescent="0.25">
      <c r="O153" s="23" t="s">
        <v>28</v>
      </c>
      <c r="P153" t="s">
        <v>329</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row>
  </sheetData>
  <sheetProtection selectLockedCells="1" selectUnlockedCells="1"/>
  <autoFilter ref="A1:U3732" xr:uid="{FB14D664-1DC0-4031-91B2-C77D3171EFF4}"/>
  <conditionalFormatting sqref="P94:P101">
    <cfRule type="duplicateValues" dxfId="6339" priority="3"/>
  </conditionalFormatting>
  <conditionalFormatting sqref="P114:P119 P121">
    <cfRule type="duplicateValues" dxfId="6338" priority="2"/>
  </conditionalFormatting>
  <conditionalFormatting sqref="P134:P146">
    <cfRule type="duplicateValues" dxfId="6337"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J32" sqref="J32"/>
    </sheetView>
  </sheetViews>
  <sheetFormatPr defaultColWidth="8.85546875" defaultRowHeight="15" x14ac:dyDescent="0.25"/>
  <cols>
    <col min="1" max="1" width="31.42578125" bestFit="1" customWidth="1"/>
    <col min="2" max="2" width="17.140625" customWidth="1"/>
    <col min="3" max="3" width="31.42578125" bestFit="1" customWidth="1"/>
  </cols>
  <sheetData>
    <row r="1" spans="1:22" x14ac:dyDescent="0.25">
      <c r="A1" s="38" t="s">
        <v>853</v>
      </c>
      <c r="B1" s="38" t="s">
        <v>876</v>
      </c>
      <c r="C1" s="38" t="s">
        <v>877</v>
      </c>
      <c r="D1" s="38" t="s">
        <v>878</v>
      </c>
      <c r="E1" s="38" t="s">
        <v>879</v>
      </c>
      <c r="F1" s="38" t="s">
        <v>880</v>
      </c>
      <c r="G1" s="38" t="s">
        <v>881</v>
      </c>
      <c r="H1" s="38" t="s">
        <v>882</v>
      </c>
      <c r="I1" s="38" t="s">
        <v>883</v>
      </c>
      <c r="J1" s="38" t="s">
        <v>884</v>
      </c>
      <c r="K1" s="38" t="s">
        <v>885</v>
      </c>
      <c r="L1" s="38" t="s">
        <v>886</v>
      </c>
      <c r="M1" s="38" t="s">
        <v>887</v>
      </c>
      <c r="N1" s="38" t="s">
        <v>888</v>
      </c>
      <c r="O1" s="38" t="s">
        <v>889</v>
      </c>
      <c r="P1" s="38" t="s">
        <v>890</v>
      </c>
      <c r="Q1" s="38" t="s">
        <v>891</v>
      </c>
      <c r="R1" s="38" t="s">
        <v>892</v>
      </c>
      <c r="S1" s="38" t="s">
        <v>893</v>
      </c>
      <c r="T1" s="38" t="s">
        <v>894</v>
      </c>
      <c r="U1" s="38" t="s">
        <v>895</v>
      </c>
      <c r="V1" s="38" t="s">
        <v>896</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1:A2"/>
    </sheetView>
  </sheetViews>
  <sheetFormatPr defaultColWidth="9.140625" defaultRowHeight="15" x14ac:dyDescent="0.25"/>
  <cols>
    <col min="1" max="1" width="17.42578125" customWidth="1"/>
    <col min="2" max="2" width="26.140625" customWidth="1"/>
    <col min="4" max="4" width="17.42578125" customWidth="1"/>
    <col min="5" max="5" width="12" customWidth="1"/>
    <col min="6" max="6" width="13.42578125" customWidth="1"/>
    <col min="7" max="7" width="43.42578125" bestFit="1" customWidth="1"/>
    <col min="8" max="9" width="9.140625" customWidth="1"/>
    <col min="10" max="10" width="13.28515625" customWidth="1"/>
    <col min="11" max="11" width="9.140625" customWidth="1"/>
    <col min="12" max="12" width="255.42578125" bestFit="1" customWidth="1"/>
    <col min="13" max="16384" width="9.140625" style="3"/>
  </cols>
  <sheetData>
    <row r="1" spans="1:12" ht="30" x14ac:dyDescent="0.2">
      <c r="A1" s="20" t="s">
        <v>853</v>
      </c>
      <c r="B1" s="20" t="s">
        <v>854</v>
      </c>
      <c r="C1" s="20" t="s">
        <v>855</v>
      </c>
      <c r="D1" s="20" t="s">
        <v>856</v>
      </c>
      <c r="E1" s="20" t="s">
        <v>878</v>
      </c>
      <c r="F1" s="20" t="s">
        <v>861</v>
      </c>
      <c r="G1" s="20" t="s">
        <v>897</v>
      </c>
      <c r="H1" s="20" t="s">
        <v>898</v>
      </c>
      <c r="I1" s="20" t="s">
        <v>899</v>
      </c>
      <c r="J1" s="20" t="s">
        <v>900</v>
      </c>
      <c r="K1" s="20" t="s">
        <v>901</v>
      </c>
      <c r="L1" s="20" t="s">
        <v>902</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topLeftCell="A28" zoomScaleNormal="100" workbookViewId="0">
      <selection activeCell="A37" sqref="A37"/>
    </sheetView>
  </sheetViews>
  <sheetFormatPr defaultColWidth="8.85546875" defaultRowHeight="15" x14ac:dyDescent="0.25"/>
  <cols>
    <col min="1" max="1" width="43.42578125" style="8" customWidth="1"/>
    <col min="2" max="2" width="9.140625" style="8"/>
    <col min="3" max="3" width="64.42578125" style="8" customWidth="1"/>
    <col min="4" max="4" width="5.42578125" style="27" customWidth="1"/>
    <col min="5" max="5" width="10" style="27" customWidth="1"/>
    <col min="6" max="6" width="9.140625" style="8"/>
    <col min="7" max="7" width="51.140625" style="8" customWidth="1"/>
    <col min="8" max="8" width="33.140625" style="27" customWidth="1"/>
    <col min="9" max="9" width="32.85546875" style="27" customWidth="1"/>
    <col min="10" max="10" width="32.85546875" style="8" customWidth="1"/>
    <col min="11" max="11" width="9.140625" style="8"/>
  </cols>
  <sheetData>
    <row r="4" spans="1:9" ht="15.75" x14ac:dyDescent="0.25">
      <c r="C4" s="13" t="s">
        <v>903</v>
      </c>
      <c r="D4" s="24"/>
      <c r="E4" s="32"/>
      <c r="G4" s="25" t="s">
        <v>904</v>
      </c>
      <c r="H4" s="212" t="s">
        <v>905</v>
      </c>
      <c r="I4" s="212" t="s">
        <v>906</v>
      </c>
    </row>
    <row r="5" spans="1:9" ht="15.75" x14ac:dyDescent="0.25">
      <c r="C5" s="13"/>
      <c r="D5" s="24"/>
      <c r="E5" s="32"/>
      <c r="G5" s="25"/>
      <c r="H5" s="212"/>
      <c r="I5" s="212"/>
    </row>
    <row r="6" spans="1:9" ht="15.75" x14ac:dyDescent="0.25">
      <c r="A6" s="23" t="s">
        <v>907</v>
      </c>
      <c r="C6" s="15" t="s">
        <v>907</v>
      </c>
      <c r="D6" s="35">
        <f>COUNTIF('reductions data'!G:G,'reductions workings'!C6)</f>
        <v>0</v>
      </c>
      <c r="E6" s="35">
        <f>D6+0.0001</f>
        <v>1E-4</v>
      </c>
      <c r="G6" s="15" t="s">
        <v>907</v>
      </c>
      <c r="H6" s="28">
        <f>SUMIF('reductions data'!$G:$G,'reductions workings'!$G6,'reductions data'!$H:$H)</f>
        <v>0</v>
      </c>
      <c r="I6" s="22" t="e">
        <f>H6/H61</f>
        <v>#DIV/0!</v>
      </c>
    </row>
    <row r="7" spans="1:9" ht="15.75" x14ac:dyDescent="0.25">
      <c r="A7" s="23" t="s">
        <v>909</v>
      </c>
      <c r="C7" s="15" t="s">
        <v>908</v>
      </c>
      <c r="D7" s="35">
        <f>COUNTIF('reductions data'!G:G,'reductions workings'!C7)</f>
        <v>0</v>
      </c>
      <c r="E7" s="35">
        <f>D7+0.0002</f>
        <v>2.0000000000000001E-4</v>
      </c>
      <c r="G7" s="15" t="s">
        <v>909</v>
      </c>
      <c r="H7" s="28">
        <f>SUMIF('reductions data'!$G:$G,'reductions workings'!$G7,'reductions data'!$H:$H)</f>
        <v>0</v>
      </c>
      <c r="I7" s="22" t="e">
        <f>H7/H61</f>
        <v>#DIV/0!</v>
      </c>
    </row>
    <row r="8" spans="1:9" ht="15.75" x14ac:dyDescent="0.25">
      <c r="A8" s="23" t="s">
        <v>908</v>
      </c>
      <c r="C8" s="15" t="s">
        <v>909</v>
      </c>
      <c r="D8" s="35">
        <f>COUNTIF('reductions data'!G:G,'reductions workings'!C8)</f>
        <v>0</v>
      </c>
      <c r="E8" s="35">
        <f>D8+0.0003</f>
        <v>2.9999999999999997E-4</v>
      </c>
      <c r="G8" s="15" t="s">
        <v>908</v>
      </c>
      <c r="H8" s="28">
        <f>SUMIF('reductions data'!$G:$G,'reductions workings'!$G8,'reductions data'!$H:$H)</f>
        <v>0</v>
      </c>
      <c r="I8" s="22" t="e">
        <f>H8/H61</f>
        <v>#DIV/0!</v>
      </c>
    </row>
    <row r="9" spans="1:9" ht="15.75" x14ac:dyDescent="0.25">
      <c r="A9" s="23" t="s">
        <v>910</v>
      </c>
      <c r="C9" s="15" t="s">
        <v>910</v>
      </c>
      <c r="D9" s="35">
        <f>COUNTIF('reductions data'!G:G,'reductions workings'!C9)</f>
        <v>0</v>
      </c>
      <c r="E9" s="35">
        <f>D9+0.0004</f>
        <v>4.0000000000000002E-4</v>
      </c>
      <c r="G9" s="15" t="s">
        <v>910</v>
      </c>
      <c r="H9" s="28">
        <f>SUMIF('reductions data'!$G:$G,'reductions workings'!$G9,'reductions data'!$H:$H)</f>
        <v>0</v>
      </c>
      <c r="I9" s="22" t="e">
        <f>H9/H61</f>
        <v>#DIV/0!</v>
      </c>
    </row>
    <row r="10" spans="1:9" ht="15.75" x14ac:dyDescent="0.25">
      <c r="A10" s="23" t="s">
        <v>911</v>
      </c>
      <c r="C10" s="15" t="s">
        <v>911</v>
      </c>
      <c r="D10" s="35">
        <f>COUNTIF('reductions data'!G:G,'reductions workings'!C10)</f>
        <v>0</v>
      </c>
      <c r="E10" s="35">
        <f>D10+0.0005</f>
        <v>5.0000000000000001E-4</v>
      </c>
      <c r="G10" s="15" t="s">
        <v>911</v>
      </c>
      <c r="H10" s="28">
        <f>SUMIF('reductions data'!$G:$G,'reductions workings'!$G10,'reductions data'!$H:$H)</f>
        <v>0</v>
      </c>
      <c r="I10" s="22" t="e">
        <f>H10/H61</f>
        <v>#DIV/0!</v>
      </c>
    </row>
    <row r="11" spans="1:9" ht="15.75" x14ac:dyDescent="0.25">
      <c r="A11" s="23" t="s">
        <v>912</v>
      </c>
      <c r="C11" s="15" t="s">
        <v>912</v>
      </c>
      <c r="D11" s="35">
        <f>COUNTIF('reductions data'!G:G,'reductions workings'!C11)</f>
        <v>0</v>
      </c>
      <c r="E11" s="35">
        <f>D11+0.0006</f>
        <v>5.9999999999999995E-4</v>
      </c>
      <c r="G11" s="15" t="s">
        <v>912</v>
      </c>
      <c r="H11" s="28">
        <f>SUMIF('reductions data'!$G:$G,'reductions workings'!$G11,'reductions data'!$H:$H)</f>
        <v>0</v>
      </c>
      <c r="I11" s="22" t="e">
        <f>H11/H61</f>
        <v>#DIV/0!</v>
      </c>
    </row>
    <row r="12" spans="1:9" ht="15.75" x14ac:dyDescent="0.25">
      <c r="A12" s="23" t="s">
        <v>913</v>
      </c>
      <c r="C12" s="15" t="s">
        <v>913</v>
      </c>
      <c r="D12" s="35">
        <f>COUNTIF('reductions data'!G:G,'reductions workings'!C12)</f>
        <v>0</v>
      </c>
      <c r="E12" s="35">
        <f>D12+0.0006</f>
        <v>5.9999999999999995E-4</v>
      </c>
      <c r="G12" s="15" t="s">
        <v>913</v>
      </c>
      <c r="H12" s="28">
        <f>SUMIF('reductions data'!$G:$G,'reductions workings'!$G12,'reductions data'!$H:$H)</f>
        <v>0</v>
      </c>
      <c r="I12" s="22" t="e">
        <f>H12/H61</f>
        <v>#DIV/0!</v>
      </c>
    </row>
    <row r="13" spans="1:9" ht="15.75" x14ac:dyDescent="0.25">
      <c r="A13" s="23" t="s">
        <v>914</v>
      </c>
      <c r="C13" s="15" t="s">
        <v>914</v>
      </c>
      <c r="D13" s="35">
        <f>COUNTIF('reductions data'!G:G,'reductions workings'!C13)</f>
        <v>0</v>
      </c>
      <c r="E13" s="35">
        <f>D13+0.0008</f>
        <v>8.0000000000000004E-4</v>
      </c>
      <c r="G13" s="15" t="s">
        <v>914</v>
      </c>
      <c r="H13" s="28">
        <f>SUMIF('reductions data'!$G:$G,'reductions workings'!$G13,'reductions data'!$H:$H)</f>
        <v>0</v>
      </c>
      <c r="I13" s="22" t="e">
        <f>H13/H61</f>
        <v>#DIV/0!</v>
      </c>
    </row>
    <row r="14" spans="1:9" ht="15.75" x14ac:dyDescent="0.25">
      <c r="A14" s="23" t="s">
        <v>1287</v>
      </c>
      <c r="C14" s="15" t="s">
        <v>1287</v>
      </c>
      <c r="D14" s="319">
        <f>COUNTIF('reductions data'!G:G,'reductions workings'!C14)</f>
        <v>0</v>
      </c>
      <c r="E14" s="319">
        <f>D14+0.0008</f>
        <v>8.0000000000000004E-4</v>
      </c>
      <c r="G14" s="15" t="s">
        <v>1287</v>
      </c>
      <c r="H14" s="28">
        <f>SUMIF('reductions data'!$G:$G,'reductions workings'!$G14,'reductions data'!$H:$H)</f>
        <v>0</v>
      </c>
      <c r="I14" s="22" t="e">
        <f>H14/H61</f>
        <v>#DIV/0!</v>
      </c>
    </row>
    <row r="15" spans="1:9" ht="15.75" x14ac:dyDescent="0.25">
      <c r="A15" s="23" t="s">
        <v>915</v>
      </c>
      <c r="C15" s="15" t="s">
        <v>915</v>
      </c>
      <c r="D15" s="35">
        <f>COUNTIF('reductions data'!G:G,'reductions workings'!C15)</f>
        <v>0</v>
      </c>
      <c r="E15" s="35">
        <f>D15+0.0009</f>
        <v>8.9999999999999998E-4</v>
      </c>
      <c r="G15" s="15" t="s">
        <v>915</v>
      </c>
      <c r="H15" s="28">
        <f>SUMIF('reductions data'!$G:$G,'reductions workings'!$G15,'reductions data'!$H:$H)</f>
        <v>0</v>
      </c>
      <c r="I15" s="22" t="e">
        <f>H15/H61</f>
        <v>#DIV/0!</v>
      </c>
    </row>
    <row r="16" spans="1:9" ht="15.75" x14ac:dyDescent="0.25">
      <c r="A16" s="23" t="s">
        <v>916</v>
      </c>
      <c r="C16" s="15" t="s">
        <v>916</v>
      </c>
      <c r="D16" s="35">
        <f>COUNTIF('reductions data'!G:G,'reductions workings'!C16)</f>
        <v>0</v>
      </c>
      <c r="E16" s="35">
        <f>D16+0.0009</f>
        <v>8.9999999999999998E-4</v>
      </c>
      <c r="G16" s="15" t="s">
        <v>916</v>
      </c>
      <c r="H16" s="28">
        <f>SUMIF('reductions data'!$G:$G,'reductions workings'!$G16,'reductions data'!$H:$H)</f>
        <v>0</v>
      </c>
      <c r="I16" s="22" t="e">
        <f>H16/H61</f>
        <v>#DIV/0!</v>
      </c>
    </row>
    <row r="17" spans="1:9" ht="15.75" x14ac:dyDescent="0.25">
      <c r="A17" s="23" t="s">
        <v>917</v>
      </c>
      <c r="C17" s="15" t="s">
        <v>917</v>
      </c>
      <c r="D17" s="35">
        <f>COUNTIF('reductions data'!G:G,'reductions workings'!C17)</f>
        <v>0</v>
      </c>
      <c r="E17" s="35">
        <f>D17+0.00011</f>
        <v>1.1E-4</v>
      </c>
      <c r="G17" s="15" t="s">
        <v>917</v>
      </c>
      <c r="H17" s="28">
        <f>SUMIF('reductions data'!$G:$G,'reductions workings'!$G17,'reductions data'!$H:$H)</f>
        <v>0</v>
      </c>
      <c r="I17" s="22" t="e">
        <f>H17/H61</f>
        <v>#DIV/0!</v>
      </c>
    </row>
    <row r="18" spans="1:9" ht="15.75" x14ac:dyDescent="0.25">
      <c r="A18" s="23" t="s">
        <v>921</v>
      </c>
      <c r="C18" s="15" t="s">
        <v>918</v>
      </c>
      <c r="D18" s="35">
        <f>COUNTIF('reductions data'!G:G,'reductions workings'!C18)</f>
        <v>0</v>
      </c>
      <c r="E18" s="35">
        <f>D18+0.00012</f>
        <v>1.2E-4</v>
      </c>
      <c r="G18" s="15" t="s">
        <v>918</v>
      </c>
      <c r="H18" s="28">
        <f>SUMIF('reductions data'!$G:$G,'reductions workings'!$G18,'reductions data'!$H:$H)</f>
        <v>0</v>
      </c>
      <c r="I18" s="22" t="e">
        <f>H18/H61</f>
        <v>#DIV/0!</v>
      </c>
    </row>
    <row r="19" spans="1:9" ht="15.75" x14ac:dyDescent="0.25">
      <c r="A19" s="23" t="s">
        <v>918</v>
      </c>
      <c r="C19" s="15" t="s">
        <v>919</v>
      </c>
      <c r="D19" s="35">
        <f>COUNTIF('reductions data'!G:G,'reductions workings'!C19)</f>
        <v>0</v>
      </c>
      <c r="E19" s="35">
        <f>D19+0.00013</f>
        <v>1.2999999999999999E-4</v>
      </c>
      <c r="G19" s="15" t="s">
        <v>920</v>
      </c>
      <c r="H19" s="28">
        <f>SUMIF('reductions data'!$G:$G,'reductions workings'!$G19,'reductions data'!$H:$H)</f>
        <v>0</v>
      </c>
      <c r="I19" s="22" t="e">
        <f>H19/H61</f>
        <v>#DIV/0!</v>
      </c>
    </row>
    <row r="20" spans="1:9" ht="15.75" x14ac:dyDescent="0.25">
      <c r="A20" s="23" t="s">
        <v>920</v>
      </c>
      <c r="C20" s="15" t="s">
        <v>920</v>
      </c>
      <c r="D20" s="35">
        <f>COUNTIF('reductions data'!G:G,'reductions workings'!C20)</f>
        <v>0</v>
      </c>
      <c r="E20" s="35">
        <f>D20+0.00014</f>
        <v>1.3999999999999999E-4</v>
      </c>
      <c r="G20" s="15" t="s">
        <v>923</v>
      </c>
      <c r="H20" s="28">
        <f>SUMIF('reductions data'!$G:$G,'reductions workings'!$G20,'reductions data'!$H:$H)</f>
        <v>0</v>
      </c>
      <c r="I20" s="22" t="e">
        <f>H20/H61</f>
        <v>#DIV/0!</v>
      </c>
    </row>
    <row r="21" spans="1:9" ht="15.75" x14ac:dyDescent="0.25">
      <c r="A21" s="23" t="s">
        <v>923</v>
      </c>
      <c r="C21" s="15" t="s">
        <v>922</v>
      </c>
      <c r="D21" s="35">
        <f>COUNTIF('reductions data'!G:G,'reductions workings'!C21)</f>
        <v>0</v>
      </c>
      <c r="E21" s="35">
        <f>D21+0.00015</f>
        <v>1.4999999999999999E-4</v>
      </c>
      <c r="G21" s="15" t="s">
        <v>919</v>
      </c>
      <c r="H21" s="28">
        <f>SUMIF('reductions data'!$G:$G,'reductions workings'!$G21,'reductions data'!$H:$H)</f>
        <v>0</v>
      </c>
      <c r="I21" s="22" t="e">
        <f>H21/H61</f>
        <v>#DIV/0!</v>
      </c>
    </row>
    <row r="22" spans="1:9" ht="15.75" x14ac:dyDescent="0.25">
      <c r="A22" s="23" t="s">
        <v>919</v>
      </c>
      <c r="C22" s="15" t="s">
        <v>923</v>
      </c>
      <c r="D22" s="35">
        <f>COUNTIF('reductions data'!G:G,'reductions workings'!C22)</f>
        <v>0</v>
      </c>
      <c r="E22" s="35">
        <f>D22+0.00016</f>
        <v>1.6000000000000001E-4</v>
      </c>
      <c r="G22" s="15" t="s">
        <v>922</v>
      </c>
      <c r="H22" s="28">
        <f>SUMIF('reductions data'!$G:$G,'reductions workings'!$G22,'reductions data'!$H:$H)</f>
        <v>0</v>
      </c>
      <c r="I22" s="22" t="e">
        <f>H22/H61</f>
        <v>#DIV/0!</v>
      </c>
    </row>
    <row r="23" spans="1:9" ht="15.75" x14ac:dyDescent="0.25">
      <c r="A23" s="23" t="s">
        <v>924</v>
      </c>
      <c r="C23" s="15" t="s">
        <v>924</v>
      </c>
      <c r="D23" s="35">
        <f>COUNTIF('reductions data'!G:G,'reductions workings'!C23)</f>
        <v>0</v>
      </c>
      <c r="E23" s="35">
        <f>D23+0.00017</f>
        <v>1.7000000000000001E-4</v>
      </c>
      <c r="G23" s="15" t="s">
        <v>924</v>
      </c>
      <c r="H23" s="28">
        <f>SUMIF('reductions data'!$G:$G,'reductions workings'!$G23,'reductions data'!$H:$H)</f>
        <v>0</v>
      </c>
      <c r="I23" s="22" t="e">
        <f>H23/H61</f>
        <v>#DIV/0!</v>
      </c>
    </row>
    <row r="24" spans="1:9" ht="15.75" x14ac:dyDescent="0.25">
      <c r="A24" s="23" t="s">
        <v>925</v>
      </c>
      <c r="C24" s="15" t="s">
        <v>925</v>
      </c>
      <c r="D24" s="35">
        <f>COUNTIF('reductions data'!G:G,'reductions workings'!C24)</f>
        <v>0</v>
      </c>
      <c r="E24" s="35">
        <f>D24+0.00018</f>
        <v>1.8000000000000001E-4</v>
      </c>
      <c r="G24" s="15" t="s">
        <v>925</v>
      </c>
      <c r="H24" s="28">
        <f>SUMIF('reductions data'!$G:$G,'reductions workings'!$G24,'reductions data'!$H:$H)</f>
        <v>0</v>
      </c>
      <c r="I24" s="22" t="e">
        <f>H24/H61</f>
        <v>#DIV/0!</v>
      </c>
    </row>
    <row r="25" spans="1:9" ht="15.75" x14ac:dyDescent="0.25">
      <c r="A25" s="23" t="s">
        <v>926</v>
      </c>
      <c r="C25" s="15" t="s">
        <v>926</v>
      </c>
      <c r="D25" s="35">
        <f>COUNTIF('reductions data'!G:G,'reductions workings'!C25)</f>
        <v>0</v>
      </c>
      <c r="E25" s="35">
        <f>D25+0.00019</f>
        <v>1.9000000000000001E-4</v>
      </c>
      <c r="G25" s="15" t="s">
        <v>926</v>
      </c>
      <c r="H25" s="28">
        <f>SUMIF('reductions data'!$G:$G,'reductions workings'!$G25,'reductions data'!$H:$H)</f>
        <v>0</v>
      </c>
      <c r="I25" s="22" t="e">
        <f>H25/H61</f>
        <v>#DIV/0!</v>
      </c>
    </row>
    <row r="26" spans="1:9" ht="15.75" x14ac:dyDescent="0.25">
      <c r="A26" s="23" t="s">
        <v>927</v>
      </c>
      <c r="C26" s="15" t="s">
        <v>927</v>
      </c>
      <c r="D26" s="35">
        <f>COUNTIF('reductions data'!G:G,'reductions workings'!C26)</f>
        <v>0</v>
      </c>
      <c r="E26" s="35">
        <f>D26+0.00021</f>
        <v>2.1000000000000001E-4</v>
      </c>
      <c r="G26" s="15" t="s">
        <v>927</v>
      </c>
      <c r="H26" s="28">
        <f>SUMIF('reductions data'!$G:$G,'reductions workings'!$G26,'reductions data'!$H:$H)</f>
        <v>0</v>
      </c>
      <c r="I26" s="22" t="e">
        <f>H26/H61</f>
        <v>#DIV/0!</v>
      </c>
    </row>
    <row r="27" spans="1:9" ht="15.75" x14ac:dyDescent="0.25">
      <c r="A27" s="23" t="s">
        <v>928</v>
      </c>
      <c r="C27" s="15" t="s">
        <v>928</v>
      </c>
      <c r="D27" s="35">
        <f>COUNTIF('reductions data'!G:G,'reductions workings'!C27)</f>
        <v>0</v>
      </c>
      <c r="E27" s="35">
        <f>D27+0.00022</f>
        <v>2.2000000000000001E-4</v>
      </c>
      <c r="G27" s="15" t="s">
        <v>928</v>
      </c>
      <c r="H27" s="28">
        <f>SUMIF('reductions data'!$G:$G,'reductions workings'!$G27,'reductions data'!$H:$H)</f>
        <v>0</v>
      </c>
      <c r="I27" s="22" t="e">
        <f>H27/H61</f>
        <v>#DIV/0!</v>
      </c>
    </row>
    <row r="28" spans="1:9" ht="15.75" x14ac:dyDescent="0.25">
      <c r="A28" s="23" t="s">
        <v>929</v>
      </c>
      <c r="C28" s="15" t="s">
        <v>929</v>
      </c>
      <c r="D28" s="35">
        <f>COUNTIF('reductions data'!G:G,'reductions workings'!C28)</f>
        <v>0</v>
      </c>
      <c r="E28" s="35">
        <f>D28+0.00023</f>
        <v>2.3000000000000001E-4</v>
      </c>
      <c r="G28" s="15" t="s">
        <v>929</v>
      </c>
      <c r="H28" s="28">
        <f>SUMIF('reductions data'!$G:$G,'reductions workings'!$G28,'reductions data'!$H:$H)</f>
        <v>0</v>
      </c>
      <c r="I28" s="22" t="e">
        <f>H28/H61</f>
        <v>#DIV/0!</v>
      </c>
    </row>
    <row r="29" spans="1:9" ht="15.75" x14ac:dyDescent="0.25">
      <c r="A29" s="23" t="s">
        <v>930</v>
      </c>
      <c r="C29" s="15" t="s">
        <v>930</v>
      </c>
      <c r="D29" s="35">
        <f>COUNTIF('reductions data'!G:G,'reductions workings'!C29)</f>
        <v>0</v>
      </c>
      <c r="E29" s="35">
        <f>D29+0.00024</f>
        <v>2.4000000000000001E-4</v>
      </c>
      <c r="G29" s="15" t="s">
        <v>930</v>
      </c>
      <c r="H29" s="28">
        <f>SUMIF('reductions data'!$G:$G,'reductions workings'!$G29,'reductions data'!$H:$H)</f>
        <v>0</v>
      </c>
      <c r="I29" s="22" t="e">
        <f>H29/H61</f>
        <v>#DIV/0!</v>
      </c>
    </row>
    <row r="30" spans="1:9" ht="15.75" x14ac:dyDescent="0.25">
      <c r="A30" s="23" t="s">
        <v>932</v>
      </c>
      <c r="C30" s="15" t="s">
        <v>931</v>
      </c>
      <c r="D30" s="35">
        <f>COUNTIF('reductions data'!G:G,'reductions workings'!C30)</f>
        <v>0</v>
      </c>
      <c r="E30" s="35">
        <f>D30+0.00026</f>
        <v>2.5999999999999998E-4</v>
      </c>
      <c r="G30" s="15" t="s">
        <v>932</v>
      </c>
      <c r="H30" s="28">
        <f>SUMIF('reductions data'!$G:$G,'reductions workings'!$G30,'reductions data'!$H:$H)</f>
        <v>0</v>
      </c>
      <c r="I30" s="22" t="e">
        <f>H30/H61</f>
        <v>#DIV/0!</v>
      </c>
    </row>
    <row r="31" spans="1:9" ht="15.75" x14ac:dyDescent="0.25">
      <c r="A31" s="23" t="s">
        <v>934</v>
      </c>
      <c r="C31" s="15" t="s">
        <v>932</v>
      </c>
      <c r="D31" s="35">
        <f>COUNTIF('reductions data'!G:G,'reductions workings'!C31)</f>
        <v>0</v>
      </c>
      <c r="E31" s="35">
        <f>D31+0.00027</f>
        <v>2.7E-4</v>
      </c>
      <c r="G31" s="15" t="s">
        <v>934</v>
      </c>
      <c r="H31" s="28">
        <f>SUMIF('reductions data'!$G:$G,'reductions workings'!$G31,'reductions data'!$H:$H)</f>
        <v>0</v>
      </c>
      <c r="I31" s="22" t="e">
        <f>H31/H61</f>
        <v>#DIV/0!</v>
      </c>
    </row>
    <row r="32" spans="1:9" ht="15.75" x14ac:dyDescent="0.25">
      <c r="A32" s="23" t="s">
        <v>936</v>
      </c>
      <c r="C32" s="15" t="s">
        <v>933</v>
      </c>
      <c r="D32" s="35">
        <f>COUNTIF('reductions data'!G:G,'reductions workings'!C32)</f>
        <v>0</v>
      </c>
      <c r="E32" s="35">
        <f>D32+0.00028</f>
        <v>2.7999999999999998E-4</v>
      </c>
      <c r="G32" s="15" t="s">
        <v>936</v>
      </c>
      <c r="H32" s="28">
        <f>SUMIF('reductions data'!$G:$G,'reductions workings'!$G32,'reductions data'!$H:$H)</f>
        <v>0</v>
      </c>
      <c r="I32" s="22" t="e">
        <f>H32/H61</f>
        <v>#DIV/0!</v>
      </c>
    </row>
    <row r="33" spans="1:9" ht="15.75" x14ac:dyDescent="0.25">
      <c r="A33" s="321" t="s">
        <v>1280</v>
      </c>
      <c r="C33" s="15" t="s">
        <v>934</v>
      </c>
      <c r="D33" s="35">
        <f>COUNTIF('reductions data'!G:G,'reductions workings'!C33)</f>
        <v>0</v>
      </c>
      <c r="E33" s="35">
        <f>D33+0.00029</f>
        <v>2.9E-4</v>
      </c>
      <c r="G33" s="321" t="s">
        <v>1280</v>
      </c>
      <c r="H33" s="28">
        <f>SUMIF('reductions data'!$G:$G,'reductions workings'!$G33,'reductions data'!$H:$H)</f>
        <v>0</v>
      </c>
      <c r="I33" s="22" t="e">
        <f>H33/H61</f>
        <v>#DIV/0!</v>
      </c>
    </row>
    <row r="34" spans="1:9" ht="15.75" x14ac:dyDescent="0.25">
      <c r="A34" s="321" t="s">
        <v>1281</v>
      </c>
      <c r="C34" s="15" t="s">
        <v>935</v>
      </c>
      <c r="D34" s="35">
        <f>COUNTIF('reductions data'!G:G,'reductions workings'!C34)</f>
        <v>0</v>
      </c>
      <c r="E34" s="35">
        <f>D34+0.00031</f>
        <v>3.1E-4</v>
      </c>
      <c r="G34" s="321" t="s">
        <v>1281</v>
      </c>
      <c r="H34" s="28">
        <f>SUMIF('reductions data'!$G:$G,'reductions workings'!$G34,'reductions data'!$H:$H)</f>
        <v>0</v>
      </c>
      <c r="I34" s="22" t="e">
        <f>H34/H61</f>
        <v>#DIV/0!</v>
      </c>
    </row>
    <row r="35" spans="1:9" ht="15.75" x14ac:dyDescent="0.25">
      <c r="A35" s="321" t="s">
        <v>1278</v>
      </c>
      <c r="C35" s="15" t="s">
        <v>936</v>
      </c>
      <c r="D35" s="322">
        <f>COUNTIF('reductions data'!G:G,'reductions workings'!C35)</f>
        <v>0</v>
      </c>
      <c r="E35" s="35">
        <f t="shared" ref="E35:E45" si="0">D35+0.00032</f>
        <v>3.2000000000000003E-4</v>
      </c>
      <c r="G35" s="321" t="s">
        <v>1278</v>
      </c>
      <c r="H35" s="28">
        <f>SUMIF('reductions data'!$G:$G,'reductions workings'!$G35,'reductions data'!$H:$H)</f>
        <v>0</v>
      </c>
      <c r="I35" s="22" t="e">
        <f>H35/H61</f>
        <v>#DIV/0!</v>
      </c>
    </row>
    <row r="36" spans="1:9" ht="15.75" x14ac:dyDescent="0.25">
      <c r="A36" s="321" t="s">
        <v>1279</v>
      </c>
      <c r="C36" s="321" t="s">
        <v>1278</v>
      </c>
      <c r="D36" s="322">
        <f>COUNTIF('reductions data'!G:G,'reductions workings'!C36)</f>
        <v>0</v>
      </c>
      <c r="E36" s="316">
        <f t="shared" si="0"/>
        <v>3.2000000000000003E-4</v>
      </c>
      <c r="G36" s="321" t="s">
        <v>1279</v>
      </c>
      <c r="H36" s="28">
        <f>SUMIF('reductions data'!$G:$G,'reductions workings'!$G36,'reductions data'!$H:$H)</f>
        <v>0</v>
      </c>
      <c r="I36" s="22" t="e">
        <f>H36/H61</f>
        <v>#DIV/0!</v>
      </c>
    </row>
    <row r="37" spans="1:9" ht="15.75" x14ac:dyDescent="0.25">
      <c r="A37" s="321" t="s">
        <v>1288</v>
      </c>
      <c r="C37" s="321" t="s">
        <v>1279</v>
      </c>
      <c r="D37" s="322">
        <f>COUNTIF('reductions data'!G:G,'reductions workings'!C37)</f>
        <v>0</v>
      </c>
      <c r="E37" s="316">
        <f t="shared" si="0"/>
        <v>3.2000000000000003E-4</v>
      </c>
      <c r="G37" s="321" t="s">
        <v>1288</v>
      </c>
      <c r="H37" s="28">
        <f>SUMIF('reductions data'!$G:$G,'reductions workings'!$G37,'reductions data'!$H:$H)</f>
        <v>0</v>
      </c>
      <c r="I37" s="22" t="e">
        <f>H37/H61</f>
        <v>#DIV/0!</v>
      </c>
    </row>
    <row r="38" spans="1:9" ht="15.75" x14ac:dyDescent="0.25">
      <c r="A38" s="23" t="s">
        <v>933</v>
      </c>
      <c r="C38" s="321" t="s">
        <v>1288</v>
      </c>
      <c r="D38" s="322">
        <f>COUNTIF('reductions data'!G:G,'reductions workings'!C38)</f>
        <v>0</v>
      </c>
      <c r="E38" s="316">
        <f t="shared" si="0"/>
        <v>3.2000000000000003E-4</v>
      </c>
      <c r="G38" s="15" t="s">
        <v>933</v>
      </c>
      <c r="H38" s="28">
        <f>SUMIF('reductions data'!$G:$G,'reductions workings'!$G38,'reductions data'!$H:$H)</f>
        <v>0</v>
      </c>
      <c r="I38" s="22" t="e">
        <f>H38/H61</f>
        <v>#DIV/0!</v>
      </c>
    </row>
    <row r="39" spans="1:9" ht="15.75" x14ac:dyDescent="0.25">
      <c r="A39" s="23" t="s">
        <v>937</v>
      </c>
      <c r="C39" s="321" t="s">
        <v>1280</v>
      </c>
      <c r="D39" s="322">
        <f>COUNTIF('reductions data'!G:G,'reductions workings'!C39)</f>
        <v>0</v>
      </c>
      <c r="E39" s="316">
        <f t="shared" si="0"/>
        <v>3.2000000000000003E-4</v>
      </c>
      <c r="G39" s="15" t="s">
        <v>938</v>
      </c>
      <c r="H39" s="28">
        <f>SUMIF('reductions data'!$G:$G,'reductions workings'!$G39,'reductions data'!$H:$H)</f>
        <v>0</v>
      </c>
      <c r="I39" s="22" t="e">
        <f>H39/H61</f>
        <v>#DIV/0!</v>
      </c>
    </row>
    <row r="40" spans="1:9" ht="15.75" x14ac:dyDescent="0.25">
      <c r="A40" s="23" t="s">
        <v>935</v>
      </c>
      <c r="C40" s="321" t="s">
        <v>1281</v>
      </c>
      <c r="D40" s="322">
        <f>COUNTIF('reductions data'!G:G,'reductions workings'!C40)</f>
        <v>0</v>
      </c>
      <c r="E40" s="316">
        <f t="shared" si="0"/>
        <v>3.2000000000000003E-4</v>
      </c>
      <c r="G40" s="15" t="s">
        <v>935</v>
      </c>
      <c r="H40" s="28">
        <f>SUMIF('reductions data'!$G:$G,'reductions workings'!$G40,'reductions data'!$H:$H)</f>
        <v>0</v>
      </c>
      <c r="I40" s="22" t="e">
        <f>H40/H61</f>
        <v>#DIV/0!</v>
      </c>
    </row>
    <row r="41" spans="1:9" ht="15.75" x14ac:dyDescent="0.25">
      <c r="A41" s="321" t="s">
        <v>1282</v>
      </c>
      <c r="C41" s="321" t="s">
        <v>1284</v>
      </c>
      <c r="D41" s="322">
        <f>COUNTIF('reductions data'!G:G,'reductions workings'!C41)</f>
        <v>0</v>
      </c>
      <c r="E41" s="316">
        <f t="shared" si="0"/>
        <v>3.2000000000000003E-4</v>
      </c>
      <c r="G41" s="321" t="s">
        <v>1282</v>
      </c>
      <c r="H41" s="28">
        <f>SUMIF('reductions data'!$G:$G,'reductions workings'!$G41,'reductions data'!$H:$H)</f>
        <v>0</v>
      </c>
      <c r="I41" s="22" t="e">
        <f>H41/H61</f>
        <v>#DIV/0!</v>
      </c>
    </row>
    <row r="42" spans="1:9" ht="15.75" x14ac:dyDescent="0.25">
      <c r="A42" s="321" t="s">
        <v>1283</v>
      </c>
      <c r="C42" s="321" t="s">
        <v>1285</v>
      </c>
      <c r="D42" s="322">
        <f>COUNTIF('reductions data'!G:G,'reductions workings'!C42)</f>
        <v>0</v>
      </c>
      <c r="E42" s="316">
        <f t="shared" si="0"/>
        <v>3.2000000000000003E-4</v>
      </c>
      <c r="G42" s="321" t="s">
        <v>1283</v>
      </c>
      <c r="H42" s="28">
        <f>SUMIF('reductions data'!$G:$G,'reductions workings'!$G42,'reductions data'!$H:$H)</f>
        <v>0</v>
      </c>
      <c r="I42" s="22" t="e">
        <f>H42/H61</f>
        <v>#DIV/0!</v>
      </c>
    </row>
    <row r="43" spans="1:9" ht="15.75" x14ac:dyDescent="0.25">
      <c r="A43" s="23" t="s">
        <v>939</v>
      </c>
      <c r="C43" s="321" t="s">
        <v>1289</v>
      </c>
      <c r="D43" s="322">
        <f>COUNTIF('reductions data'!G:G,'reductions workings'!C43)</f>
        <v>0</v>
      </c>
      <c r="E43" s="316">
        <f t="shared" si="0"/>
        <v>3.2000000000000003E-4</v>
      </c>
      <c r="G43" s="15" t="s">
        <v>939</v>
      </c>
      <c r="H43" s="28">
        <f>SUMIF('reductions data'!$G:$G,'reductions workings'!$G43,'reductions data'!$H:$H)</f>
        <v>0</v>
      </c>
      <c r="I43" s="22" t="e">
        <f>H43/H61</f>
        <v>#DIV/0!</v>
      </c>
    </row>
    <row r="44" spans="1:9" ht="15.75" x14ac:dyDescent="0.25">
      <c r="A44" s="23" t="s">
        <v>940</v>
      </c>
      <c r="C44" s="321" t="s">
        <v>1282</v>
      </c>
      <c r="D44" s="322">
        <f>COUNTIF('reductions data'!G:G,'reductions workings'!C44)</f>
        <v>0</v>
      </c>
      <c r="E44" s="316">
        <f t="shared" si="0"/>
        <v>3.2000000000000003E-4</v>
      </c>
      <c r="G44" s="15" t="s">
        <v>940</v>
      </c>
      <c r="H44" s="28">
        <f>SUMIF('reductions data'!$G:$G,'reductions workings'!$G44,'reductions data'!$H:$H)</f>
        <v>0</v>
      </c>
      <c r="I44" s="22" t="e">
        <f>H44/H61</f>
        <v>#DIV/0!</v>
      </c>
    </row>
    <row r="45" spans="1:9" ht="15.75" x14ac:dyDescent="0.25">
      <c r="A45" s="23" t="s">
        <v>941</v>
      </c>
      <c r="C45" s="321" t="s">
        <v>1283</v>
      </c>
      <c r="D45" s="322">
        <f>COUNTIF('reductions data'!G:G,'reductions workings'!C45)</f>
        <v>0</v>
      </c>
      <c r="E45" s="316">
        <f t="shared" si="0"/>
        <v>3.2000000000000003E-4</v>
      </c>
      <c r="G45" s="15" t="s">
        <v>941</v>
      </c>
      <c r="H45" s="28">
        <f>SUMIF('reductions data'!$G:$G,'reductions workings'!$G45,'reductions data'!$H:$H)</f>
        <v>0</v>
      </c>
      <c r="I45" s="22" t="e">
        <f>H45/H61</f>
        <v>#DIV/0!</v>
      </c>
    </row>
    <row r="46" spans="1:9" ht="15.75" x14ac:dyDescent="0.25">
      <c r="A46" s="23" t="s">
        <v>942</v>
      </c>
      <c r="C46" s="15" t="s">
        <v>938</v>
      </c>
      <c r="D46" s="322">
        <f>COUNTIF('reductions data'!G:G,'reductions workings'!C46)</f>
        <v>0</v>
      </c>
      <c r="E46" s="35">
        <f t="shared" ref="E46:E52" si="1">D46+0.00033</f>
        <v>3.3E-4</v>
      </c>
      <c r="G46" s="15" t="s">
        <v>942</v>
      </c>
      <c r="H46" s="28">
        <f>SUMIF('reductions data'!$G:$G,'reductions workings'!$G46,'reductions data'!$H:$H)</f>
        <v>0</v>
      </c>
      <c r="I46" s="22" t="e">
        <f>H46/H61</f>
        <v>#DIV/0!</v>
      </c>
    </row>
    <row r="47" spans="1:9" ht="15.75" x14ac:dyDescent="0.25">
      <c r="A47" s="23" t="s">
        <v>943</v>
      </c>
      <c r="C47" s="15" t="s">
        <v>939</v>
      </c>
      <c r="D47" s="35">
        <f>COUNTIF('reductions data'!G:G,'reductions workings'!C47)</f>
        <v>0</v>
      </c>
      <c r="E47" s="35">
        <f t="shared" si="1"/>
        <v>3.3E-4</v>
      </c>
      <c r="G47" s="15" t="s">
        <v>943</v>
      </c>
      <c r="H47" s="28">
        <f>SUMIF('reductions data'!$G:$G,'reductions workings'!$G47,'reductions data'!$H:$H)</f>
        <v>0</v>
      </c>
      <c r="I47" s="22" t="e">
        <f>H47/H61</f>
        <v>#DIV/0!</v>
      </c>
    </row>
    <row r="48" spans="1:9" ht="15.75" x14ac:dyDescent="0.25">
      <c r="A48" s="23" t="s">
        <v>944</v>
      </c>
      <c r="C48" s="15" t="s">
        <v>940</v>
      </c>
      <c r="D48" s="35">
        <f>COUNTIF('reductions data'!G:G,'reductions workings'!C48)</f>
        <v>0</v>
      </c>
      <c r="E48" s="35">
        <f t="shared" si="1"/>
        <v>3.3E-4</v>
      </c>
      <c r="G48" s="15" t="s">
        <v>944</v>
      </c>
      <c r="H48" s="28">
        <f>SUMIF('reductions data'!$G:$G,'reductions workings'!$G48,'reductions data'!$H:$H)</f>
        <v>0</v>
      </c>
      <c r="I48" s="22" t="e">
        <f>H48/H61</f>
        <v>#DIV/0!</v>
      </c>
    </row>
    <row r="49" spans="1:9" ht="15.75" x14ac:dyDescent="0.25">
      <c r="A49" s="321" t="s">
        <v>1284</v>
      </c>
      <c r="C49" s="15" t="s">
        <v>941</v>
      </c>
      <c r="D49" s="35">
        <f>COUNTIF('reductions data'!G:G,'reductions workings'!C49)</f>
        <v>0</v>
      </c>
      <c r="E49" s="35">
        <f t="shared" si="1"/>
        <v>3.3E-4</v>
      </c>
      <c r="G49" s="321" t="s">
        <v>1284</v>
      </c>
      <c r="H49" s="28">
        <f>SUMIF('reductions data'!$G:$G,'reductions workings'!$G49,'reductions data'!$H:$H)</f>
        <v>0</v>
      </c>
      <c r="I49" s="22" t="e">
        <f>H49/H61</f>
        <v>#DIV/0!</v>
      </c>
    </row>
    <row r="50" spans="1:9" ht="15.75" x14ac:dyDescent="0.25">
      <c r="A50" s="321" t="s">
        <v>1285</v>
      </c>
      <c r="C50" s="15" t="s">
        <v>942</v>
      </c>
      <c r="D50" s="35">
        <f>COUNTIF('reductions data'!G:G,'reductions workings'!C50)</f>
        <v>0</v>
      </c>
      <c r="E50" s="35">
        <f t="shared" si="1"/>
        <v>3.3E-4</v>
      </c>
      <c r="G50" s="321" t="s">
        <v>1285</v>
      </c>
      <c r="H50" s="28">
        <f>SUMIF('reductions data'!$G:$G,'reductions workings'!$G50,'reductions data'!$H:$H)</f>
        <v>0</v>
      </c>
      <c r="I50" s="22" t="e">
        <f>H50/H61</f>
        <v>#DIV/0!</v>
      </c>
    </row>
    <row r="51" spans="1:9" ht="15.75" x14ac:dyDescent="0.25">
      <c r="A51" s="321" t="s">
        <v>1286</v>
      </c>
      <c r="C51" s="15" t="s">
        <v>943</v>
      </c>
      <c r="D51" s="35">
        <f>COUNTIF('reductions data'!G:G,'reductions workings'!C51)</f>
        <v>0</v>
      </c>
      <c r="E51" s="35">
        <f t="shared" si="1"/>
        <v>3.3E-4</v>
      </c>
      <c r="G51" s="321" t="s">
        <v>1289</v>
      </c>
      <c r="H51" s="28">
        <f>SUMIF('reductions data'!$G:$G,'reductions workings'!$G51,'reductions data'!$H:$H)</f>
        <v>0</v>
      </c>
      <c r="I51" s="22" t="e">
        <f>H51/H61</f>
        <v>#DIV/0!</v>
      </c>
    </row>
    <row r="52" spans="1:9" ht="15.75" x14ac:dyDescent="0.25">
      <c r="A52" s="23" t="s">
        <v>931</v>
      </c>
      <c r="C52" s="15" t="s">
        <v>944</v>
      </c>
      <c r="D52" s="35">
        <f>COUNTIF('reductions data'!G:G,'reductions workings'!C52)</f>
        <v>0</v>
      </c>
      <c r="E52" s="35">
        <f t="shared" si="1"/>
        <v>3.3E-4</v>
      </c>
      <c r="G52" s="15" t="s">
        <v>931</v>
      </c>
      <c r="H52" s="28">
        <f>SUMIF('reductions data'!$G:$G,'reductions workings'!$G52,'reductions data'!$H:$H)</f>
        <v>0</v>
      </c>
      <c r="I52" s="22" t="e">
        <f>H52/H61</f>
        <v>#DIV/0!</v>
      </c>
    </row>
    <row r="53" spans="1:9" ht="15.75" x14ac:dyDescent="0.25">
      <c r="A53" s="23" t="s">
        <v>945</v>
      </c>
      <c r="C53" s="15" t="s">
        <v>945</v>
      </c>
      <c r="D53" s="35">
        <f>COUNTIF('reductions data'!G:G,'reductions workings'!C53)</f>
        <v>0</v>
      </c>
      <c r="E53" s="35">
        <f>D53+0.00034</f>
        <v>3.4000000000000002E-4</v>
      </c>
      <c r="G53" s="15" t="s">
        <v>945</v>
      </c>
      <c r="H53" s="28">
        <f>SUMIF('reductions data'!$G:$G,'reductions workings'!$G53,'reductions data'!$H:$H)</f>
        <v>0</v>
      </c>
      <c r="I53" s="22" t="e">
        <f>H53/H61</f>
        <v>#DIV/0!</v>
      </c>
    </row>
    <row r="54" spans="1:9" ht="15.75" x14ac:dyDescent="0.25">
      <c r="A54" s="23" t="s">
        <v>946</v>
      </c>
      <c r="C54" s="15" t="s">
        <v>946</v>
      </c>
      <c r="D54" s="35">
        <f>COUNTIF('reductions data'!G:G,'reductions workings'!C54)</f>
        <v>0</v>
      </c>
      <c r="E54" s="35">
        <f>D54+0.00035</f>
        <v>3.5E-4</v>
      </c>
      <c r="G54" s="15" t="s">
        <v>946</v>
      </c>
      <c r="H54" s="28">
        <f>SUMIF('reductions data'!$G:$G,'reductions workings'!$G54,'reductions data'!$H:$H)</f>
        <v>0</v>
      </c>
      <c r="I54" s="22" t="e">
        <f>H54/H61</f>
        <v>#DIV/0!</v>
      </c>
    </row>
    <row r="55" spans="1:9" ht="15.75" x14ac:dyDescent="0.25">
      <c r="A55" s="23" t="s">
        <v>947</v>
      </c>
      <c r="C55" s="15" t="s">
        <v>947</v>
      </c>
      <c r="D55" s="35">
        <f>COUNTIF('reductions data'!G:G,'reductions workings'!C55)</f>
        <v>0</v>
      </c>
      <c r="E55" s="35">
        <f>D55+0.00036</f>
        <v>3.6000000000000002E-4</v>
      </c>
      <c r="G55" s="15" t="s">
        <v>947</v>
      </c>
      <c r="H55" s="28">
        <f>SUMIF('reductions data'!$G:$G,'reductions workings'!$G55,'reductions data'!$H:$H)</f>
        <v>0</v>
      </c>
      <c r="I55" s="22" t="e">
        <f>H55/H61</f>
        <v>#DIV/0!</v>
      </c>
    </row>
    <row r="56" spans="1:9" ht="15.75" x14ac:dyDescent="0.25">
      <c r="A56" s="23" t="s">
        <v>948</v>
      </c>
      <c r="C56" s="15" t="s">
        <v>948</v>
      </c>
      <c r="D56" s="35">
        <f>COUNTIF('reductions data'!G:G,'reductions workings'!C56)</f>
        <v>0</v>
      </c>
      <c r="E56" s="35">
        <f>D56+0.00037</f>
        <v>3.6999999999999999E-4</v>
      </c>
      <c r="G56" s="15" t="s">
        <v>948</v>
      </c>
      <c r="H56" s="28">
        <f>SUMIF('reductions data'!$G:$G,'reductions workings'!$G56,'reductions data'!$H:$H)</f>
        <v>0</v>
      </c>
      <c r="I56" s="22" t="e">
        <f>H56/H61</f>
        <v>#DIV/0!</v>
      </c>
    </row>
    <row r="57" spans="1:9" ht="15.75" x14ac:dyDescent="0.25">
      <c r="A57" s="23" t="s">
        <v>949</v>
      </c>
      <c r="C57" s="15" t="s">
        <v>949</v>
      </c>
      <c r="D57" s="35">
        <f>COUNTIF('reductions data'!G:G,'reductions workings'!C57)</f>
        <v>0</v>
      </c>
      <c r="E57" s="35">
        <f>D57+0.00038</f>
        <v>3.8000000000000002E-4</v>
      </c>
      <c r="G57" s="15" t="s">
        <v>949</v>
      </c>
      <c r="H57" s="28">
        <f>SUMIF('reductions data'!$G:$G,'reductions workings'!$G57,'reductions data'!$H:$H)</f>
        <v>0</v>
      </c>
      <c r="I57" s="22" t="e">
        <f>H57/H61</f>
        <v>#DIV/0!</v>
      </c>
    </row>
    <row r="58" spans="1:9" ht="15.75" x14ac:dyDescent="0.25">
      <c r="A58" s="23" t="s">
        <v>950</v>
      </c>
      <c r="C58" s="15" t="s">
        <v>950</v>
      </c>
      <c r="D58" s="35">
        <f>COUNTIF('reductions data'!G:G,'reductions workings'!C58)</f>
        <v>0</v>
      </c>
      <c r="E58" s="35">
        <f>D58+0.00039</f>
        <v>3.8999999999999999E-4</v>
      </c>
      <c r="G58" s="15" t="s">
        <v>950</v>
      </c>
      <c r="H58" s="28">
        <f>SUMIF('reductions data'!$G:$G,'reductions workings'!$G58,'reductions data'!$H:$H)</f>
        <v>0</v>
      </c>
      <c r="I58" s="22" t="e">
        <f>H58/H61</f>
        <v>#DIV/0!</v>
      </c>
    </row>
    <row r="59" spans="1:9" ht="15.75" x14ac:dyDescent="0.25">
      <c r="A59" s="23" t="s">
        <v>951</v>
      </c>
      <c r="C59" s="15" t="s">
        <v>951</v>
      </c>
      <c r="D59" s="35">
        <f>COUNTIF('reductions data'!G:G,'reductions workings'!C59)</f>
        <v>0</v>
      </c>
      <c r="E59" s="35">
        <f>D59+0.00039</f>
        <v>3.8999999999999999E-4</v>
      </c>
      <c r="G59" s="15" t="s">
        <v>951</v>
      </c>
      <c r="H59" s="28">
        <f>SUMIF('reductions data'!$G:$G,'reductions workings'!$G59,'reductions data'!$H:$H)</f>
        <v>0</v>
      </c>
      <c r="I59" s="22" t="e">
        <f>H59/H61</f>
        <v>#DIV/0!</v>
      </c>
    </row>
    <row r="60" spans="1:9" ht="15.75" x14ac:dyDescent="0.25">
      <c r="A60" s="23" t="s">
        <v>952</v>
      </c>
      <c r="C60" s="15" t="s">
        <v>952</v>
      </c>
      <c r="D60" s="35">
        <f>COUNTIF('reductions data'!G:G,'reductions workings'!C60)</f>
        <v>0</v>
      </c>
      <c r="E60" s="35">
        <f>D60+0.00041</f>
        <v>4.0999999999999999E-4</v>
      </c>
      <c r="G60" s="15" t="s">
        <v>952</v>
      </c>
      <c r="H60" s="28">
        <f>SUMIF('reductions data'!$G:$G,'reductions workings'!$G60,'reductions data'!$H:$H)</f>
        <v>0</v>
      </c>
      <c r="I60" s="22" t="e">
        <f>H60/H61</f>
        <v>#DIV/0!</v>
      </c>
    </row>
    <row r="61" spans="1:9" ht="18" x14ac:dyDescent="0.25">
      <c r="C61" s="26" t="s">
        <v>953</v>
      </c>
      <c r="D61" s="408">
        <f>SUM(D6:D60)</f>
        <v>0</v>
      </c>
      <c r="E61" s="409"/>
      <c r="G61" s="26" t="s">
        <v>954</v>
      </c>
      <c r="H61" s="410">
        <f>SUM(H6:H60)</f>
        <v>0</v>
      </c>
      <c r="I61" s="411"/>
    </row>
    <row r="99" spans="4:9" x14ac:dyDescent="0.25">
      <c r="D99" s="8"/>
      <c r="E99" s="8"/>
      <c r="H99" s="8"/>
      <c r="I99" s="8"/>
    </row>
    <row r="100" spans="4:9" x14ac:dyDescent="0.25">
      <c r="D100" s="8"/>
      <c r="E100" s="8"/>
      <c r="H100" s="8"/>
      <c r="I100" s="8"/>
    </row>
    <row r="101" spans="4:9" x14ac:dyDescent="0.25">
      <c r="D101" s="8"/>
      <c r="E101" s="8"/>
      <c r="H101" s="8"/>
      <c r="I101" s="8"/>
    </row>
    <row r="102" spans="4:9" x14ac:dyDescent="0.25">
      <c r="D102" s="8"/>
      <c r="E102" s="8"/>
      <c r="H102" s="8"/>
      <c r="I102" s="8"/>
    </row>
    <row r="103" spans="4:9" x14ac:dyDescent="0.25">
      <c r="D103" s="8"/>
      <c r="E103" s="8"/>
      <c r="H103" s="8"/>
      <c r="I103" s="8"/>
    </row>
    <row r="104" spans="4:9" x14ac:dyDescent="0.25">
      <c r="D104" s="8"/>
      <c r="E104" s="8"/>
      <c r="H104" s="8"/>
      <c r="I104" s="8"/>
    </row>
    <row r="105" spans="4:9" x14ac:dyDescent="0.25">
      <c r="D105" s="8"/>
      <c r="E105" s="8"/>
      <c r="H105" s="8"/>
      <c r="I105" s="8"/>
    </row>
    <row r="106" spans="4:9" x14ac:dyDescent="0.25">
      <c r="D106" s="8"/>
      <c r="E106" s="8"/>
      <c r="H106" s="8"/>
      <c r="I106" s="8"/>
    </row>
    <row r="107" spans="4:9" x14ac:dyDescent="0.25">
      <c r="D107" s="8"/>
      <c r="E107" s="8"/>
      <c r="H107" s="8"/>
      <c r="I107" s="8"/>
    </row>
    <row r="108" spans="4:9" x14ac:dyDescent="0.25">
      <c r="D108" s="8"/>
      <c r="E108" s="8"/>
      <c r="H108" s="8"/>
      <c r="I108" s="8"/>
    </row>
    <row r="109" spans="4:9" x14ac:dyDescent="0.25">
      <c r="D109" s="8"/>
      <c r="E109" s="8"/>
      <c r="H109" s="8"/>
      <c r="I109" s="8"/>
    </row>
    <row r="110" spans="4:9" x14ac:dyDescent="0.25">
      <c r="D110" s="8"/>
      <c r="E110" s="8"/>
      <c r="H110" s="8"/>
      <c r="I110" s="8"/>
    </row>
    <row r="111" spans="4:9" x14ac:dyDescent="0.25">
      <c r="D111" s="8"/>
      <c r="E111" s="8"/>
      <c r="H111" s="8"/>
      <c r="I111" s="8"/>
    </row>
    <row r="112" spans="4:9" x14ac:dyDescent="0.25">
      <c r="D112" s="8"/>
      <c r="E112" s="8"/>
      <c r="H112" s="8"/>
      <c r="I112" s="8"/>
    </row>
    <row r="127" spans="1:9" x14ac:dyDescent="0.25">
      <c r="A127" s="29"/>
      <c r="C127" s="29"/>
      <c r="D127" s="30"/>
      <c r="E127" s="30"/>
      <c r="G127" s="29"/>
      <c r="H127" s="30"/>
      <c r="I127" s="30"/>
    </row>
    <row r="131" spans="2:11" x14ac:dyDescent="0.25">
      <c r="B131" s="29"/>
      <c r="F131" s="29"/>
      <c r="J131" s="29"/>
      <c r="K131" s="29"/>
    </row>
  </sheetData>
  <sheetProtection selectLockedCells="1" selectUnlockedCells="1"/>
  <sortState xmlns:xlrd2="http://schemas.microsoft.com/office/spreadsheetml/2017/richdata2" ref="G6:I54">
    <sortCondition ref="G6:G54"/>
  </sortState>
  <mergeCells count="2">
    <mergeCell ref="D61:E61"/>
    <mergeCell ref="H61:I6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defaultColWidth="8.85546875" defaultRowHeight="15" x14ac:dyDescent="0.25"/>
  <sheetData>
    <row r="1" spans="1:19" ht="40.5" customHeight="1" x14ac:dyDescent="0.35">
      <c r="A1" s="412" t="s">
        <v>955</v>
      </c>
      <c r="B1" s="412"/>
      <c r="C1" s="412"/>
      <c r="D1" s="412"/>
      <c r="E1" s="412"/>
      <c r="F1" s="412"/>
      <c r="G1" s="412"/>
      <c r="H1" s="412"/>
      <c r="I1" s="412"/>
      <c r="J1" s="412"/>
      <c r="K1" s="412"/>
      <c r="L1" s="412"/>
      <c r="M1" s="412"/>
      <c r="N1" s="412"/>
      <c r="O1" s="412"/>
      <c r="P1" s="412"/>
      <c r="Q1" s="412"/>
      <c r="R1" s="278"/>
      <c r="S1" s="278"/>
    </row>
    <row r="30" spans="1:1" x14ac:dyDescent="0.25">
      <c r="A30" t="s">
        <v>1228</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31"/>
  <sheetViews>
    <sheetView showGridLines="0" zoomScale="70" zoomScaleNormal="70" workbookViewId="0">
      <selection activeCell="S135" sqref="S135"/>
    </sheetView>
  </sheetViews>
  <sheetFormatPr defaultColWidth="9.140625" defaultRowHeight="15" x14ac:dyDescent="0.25"/>
  <cols>
    <col min="2" max="2" width="46.42578125" customWidth="1"/>
    <col min="3" max="3" width="14.42578125" bestFit="1" customWidth="1"/>
    <col min="4" max="4" width="17.42578125" customWidth="1"/>
    <col min="5" max="5" width="14.85546875" customWidth="1"/>
    <col min="6" max="6" width="20.140625" customWidth="1"/>
    <col min="7" max="7" width="17.42578125" customWidth="1"/>
    <col min="8" max="8" width="19.5703125" customWidth="1"/>
    <col min="9" max="9" width="16.5703125" customWidth="1"/>
    <col min="10" max="10" width="15.42578125" customWidth="1"/>
    <col min="11" max="11" width="18" customWidth="1"/>
    <col min="12" max="12" width="16" customWidth="1"/>
    <col min="13" max="13" width="15.42578125" customWidth="1"/>
    <col min="21" max="21" width="43.42578125" bestFit="1" customWidth="1"/>
  </cols>
  <sheetData>
    <row r="1" spans="1:19" ht="52.5" customHeight="1" x14ac:dyDescent="0.25">
      <c r="A1" s="419" t="s">
        <v>956</v>
      </c>
      <c r="B1" s="419"/>
      <c r="C1" s="419"/>
      <c r="D1" s="419"/>
      <c r="E1" s="419"/>
      <c r="F1" s="419"/>
      <c r="G1" s="419"/>
      <c r="H1" s="419"/>
      <c r="I1" s="419"/>
      <c r="J1" s="419"/>
      <c r="K1" s="419"/>
      <c r="L1" s="419"/>
      <c r="M1" s="419"/>
      <c r="N1" s="240"/>
      <c r="O1" s="240"/>
      <c r="P1" s="240"/>
      <c r="Q1" s="240"/>
      <c r="R1" s="240"/>
      <c r="S1" s="240"/>
    </row>
    <row r="2" spans="1:19" ht="28.5" customHeight="1" x14ac:dyDescent="0.25">
      <c r="A2" s="430"/>
      <c r="B2" s="430"/>
      <c r="C2" s="430"/>
      <c r="D2" s="430"/>
      <c r="E2" s="430"/>
      <c r="F2" s="430"/>
      <c r="G2" s="430"/>
      <c r="H2" s="430"/>
      <c r="I2" s="430"/>
      <c r="J2" s="430"/>
      <c r="K2" s="430"/>
      <c r="L2" s="430"/>
      <c r="M2" s="259"/>
      <c r="N2" s="241"/>
      <c r="O2" s="241"/>
      <c r="P2" s="241"/>
      <c r="Q2" s="241"/>
      <c r="R2" s="241"/>
      <c r="S2" s="241"/>
    </row>
    <row r="4" spans="1:19" ht="36" customHeight="1" x14ac:dyDescent="0.25">
      <c r="B4" s="36" t="s">
        <v>957</v>
      </c>
    </row>
    <row r="5" spans="1:19" ht="39" customHeight="1" x14ac:dyDescent="0.25">
      <c r="B5" s="243" t="s">
        <v>17</v>
      </c>
      <c r="C5" s="40"/>
    </row>
    <row r="6" spans="1:19" x14ac:dyDescent="0.25">
      <c r="H6" s="49"/>
    </row>
    <row r="7" spans="1:19" ht="26.25" x14ac:dyDescent="0.25">
      <c r="B7" s="281" t="s">
        <v>958</v>
      </c>
      <c r="C7" s="282"/>
      <c r="D7" s="282"/>
      <c r="E7" s="282"/>
      <c r="F7" s="283"/>
    </row>
    <row r="8" spans="1:19" ht="78.75" customHeight="1" x14ac:dyDescent="0.25">
      <c r="B8" s="62"/>
      <c r="C8" s="219" t="s">
        <v>959</v>
      </c>
      <c r="D8" s="63" t="s">
        <v>960</v>
      </c>
      <c r="E8" s="63" t="s">
        <v>961</v>
      </c>
      <c r="F8" s="63" t="s">
        <v>962</v>
      </c>
      <c r="G8" s="64"/>
      <c r="H8" s="219" t="s">
        <v>963</v>
      </c>
      <c r="I8" s="219" t="s">
        <v>964</v>
      </c>
      <c r="J8" s="64"/>
      <c r="K8" s="219" t="s">
        <v>965</v>
      </c>
      <c r="L8" s="219" t="s">
        <v>966</v>
      </c>
    </row>
    <row r="9" spans="1:19" x14ac:dyDescent="0.2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25">
      <c r="B10" s="229" t="s">
        <v>967</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25">
      <c r="B11" s="68" t="s">
        <v>968</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25" x14ac:dyDescent="0.25">
      <c r="B13" s="417" t="s">
        <v>969</v>
      </c>
      <c r="C13" s="418"/>
      <c r="D13" s="418"/>
      <c r="E13" s="418"/>
      <c r="F13" s="418"/>
      <c r="G13" s="418"/>
      <c r="H13" s="418"/>
      <c r="I13" s="418"/>
      <c r="J13" s="418"/>
      <c r="K13" s="418"/>
      <c r="L13" s="418"/>
      <c r="M13" s="418"/>
    </row>
    <row r="14" spans="1:19" ht="63.75" customHeight="1" x14ac:dyDescent="0.25">
      <c r="B14" s="69"/>
      <c r="C14" s="70" t="s">
        <v>970</v>
      </c>
      <c r="D14" s="70" t="s">
        <v>971</v>
      </c>
      <c r="E14" s="70" t="s">
        <v>972</v>
      </c>
      <c r="F14" s="70" t="s">
        <v>973</v>
      </c>
      <c r="G14" s="70" t="s">
        <v>974</v>
      </c>
      <c r="H14" s="70" t="s">
        <v>975</v>
      </c>
      <c r="I14" s="70" t="s">
        <v>976</v>
      </c>
      <c r="J14" s="71" t="s">
        <v>977</v>
      </c>
      <c r="K14" s="70" t="s">
        <v>978</v>
      </c>
      <c r="L14" s="70" t="s">
        <v>979</v>
      </c>
      <c r="M14" s="70" t="s">
        <v>980</v>
      </c>
    </row>
    <row r="15" spans="1:19" ht="20.25" customHeight="1" x14ac:dyDescent="0.2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25">
      <c r="B16" s="229" t="s">
        <v>981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25">
      <c r="B17" s="62" t="s">
        <v>968</v>
      </c>
      <c r="C17" s="100" t="s">
        <v>982</v>
      </c>
      <c r="D17" s="100" t="s">
        <v>982</v>
      </c>
      <c r="E17" s="101" t="e">
        <f>+E15-E16</f>
        <v>#DIV/0!</v>
      </c>
      <c r="F17" s="100" t="s">
        <v>982</v>
      </c>
      <c r="G17" s="100" t="s">
        <v>982</v>
      </c>
      <c r="H17" s="101" t="e">
        <f>+H15-H16</f>
        <v>#DIV/0!</v>
      </c>
      <c r="I17" s="100" t="s">
        <v>982</v>
      </c>
      <c r="J17" s="101" t="e">
        <f>+J15-J16</f>
        <v>#DIV/0!</v>
      </c>
      <c r="K17" s="100" t="s">
        <v>982</v>
      </c>
      <c r="L17" s="100" t="s">
        <v>982</v>
      </c>
      <c r="M17" s="101" t="e">
        <f>+M15-M16</f>
        <v>#DIV/0!</v>
      </c>
    </row>
    <row r="19" spans="2:13" ht="23.25" x14ac:dyDescent="0.35">
      <c r="B19" s="413" t="s">
        <v>983</v>
      </c>
      <c r="C19" s="414"/>
      <c r="D19" s="414"/>
      <c r="E19" s="414"/>
      <c r="F19" s="414"/>
      <c r="G19" s="415"/>
      <c r="H19" s="416"/>
    </row>
    <row r="20" spans="2:13" ht="38.25" x14ac:dyDescent="0.25">
      <c r="B20" s="76"/>
      <c r="C20" s="63" t="s">
        <v>984</v>
      </c>
      <c r="D20" s="63" t="s">
        <v>985</v>
      </c>
      <c r="E20" s="63" t="s">
        <v>986</v>
      </c>
      <c r="F20" s="63" t="s">
        <v>987</v>
      </c>
      <c r="G20" s="219" t="s">
        <v>988</v>
      </c>
      <c r="H20" s="219" t="s">
        <v>989</v>
      </c>
    </row>
    <row r="21" spans="2:13" x14ac:dyDescent="0.2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overview'!B105,'caseload data'!U:U)</f>
        <v>0</v>
      </c>
    </row>
    <row r="22" spans="2:13" x14ac:dyDescent="0.25">
      <c r="B22" s="230" t="s">
        <v>981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25">
      <c r="B23" s="83" t="s">
        <v>968</v>
      </c>
      <c r="C23" s="100" t="s">
        <v>982</v>
      </c>
      <c r="D23" s="100" t="s">
        <v>982</v>
      </c>
      <c r="E23" s="100" t="s">
        <v>982</v>
      </c>
      <c r="F23" s="104" t="s">
        <v>982</v>
      </c>
      <c r="G23" s="104" t="e">
        <f>+G21-G22</f>
        <v>#DIV/0!</v>
      </c>
      <c r="H23" s="100" t="s">
        <v>982</v>
      </c>
    </row>
    <row r="26" spans="2:13" ht="23.25" x14ac:dyDescent="0.35">
      <c r="B26" s="426" t="s">
        <v>990</v>
      </c>
      <c r="C26" s="426"/>
      <c r="D26" s="426"/>
      <c r="E26" s="426"/>
      <c r="F26" s="426"/>
      <c r="G26" s="426"/>
      <c r="H26" s="426"/>
      <c r="I26" s="426"/>
      <c r="J26" s="426"/>
      <c r="K26" s="426"/>
    </row>
    <row r="27" spans="2:13" ht="83.25" customHeight="1" x14ac:dyDescent="0.25">
      <c r="B27" s="84"/>
      <c r="C27" s="219" t="s">
        <v>991</v>
      </c>
      <c r="D27" s="219" t="s">
        <v>992</v>
      </c>
      <c r="E27" s="219" t="s">
        <v>993</v>
      </c>
      <c r="F27" s="219" t="s">
        <v>994</v>
      </c>
      <c r="G27" s="219" t="s">
        <v>995</v>
      </c>
      <c r="H27" s="219" t="s">
        <v>996</v>
      </c>
      <c r="I27" s="219" t="s">
        <v>997</v>
      </c>
      <c r="J27" s="219" t="s">
        <v>998</v>
      </c>
      <c r="K27" s="219" t="s">
        <v>999</v>
      </c>
    </row>
    <row r="28" spans="2:13" x14ac:dyDescent="0.2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25">
      <c r="B29" s="229" t="s">
        <v>1000</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25">
      <c r="B30" s="105" t="s">
        <v>968</v>
      </c>
      <c r="C30" s="100" t="s">
        <v>982</v>
      </c>
      <c r="D30" s="100" t="s">
        <v>982</v>
      </c>
      <c r="E30" s="99" t="e">
        <f>+E28-E29</f>
        <v>#DIV/0!</v>
      </c>
      <c r="F30" s="100" t="s">
        <v>982</v>
      </c>
      <c r="G30" s="100" t="s">
        <v>982</v>
      </c>
      <c r="H30" s="99" t="e">
        <f>+H28-H29</f>
        <v>#DIV/0!</v>
      </c>
      <c r="I30" s="100" t="s">
        <v>982</v>
      </c>
      <c r="J30" s="100" t="s">
        <v>982</v>
      </c>
      <c r="K30" s="99" t="e">
        <f>+K28-K29</f>
        <v>#DIV/0!</v>
      </c>
    </row>
    <row r="32" spans="2:13" ht="37.5" customHeight="1" x14ac:dyDescent="0.3">
      <c r="B32" s="427" t="s">
        <v>1001</v>
      </c>
      <c r="C32" s="428"/>
      <c r="D32" s="428"/>
      <c r="F32" s="429" t="s">
        <v>1002</v>
      </c>
      <c r="G32" s="429"/>
    </row>
    <row r="33" spans="2:7" ht="88.5" customHeight="1" x14ac:dyDescent="0.25">
      <c r="B33" s="76" t="s">
        <v>1003</v>
      </c>
      <c r="C33" s="219" t="s">
        <v>1004</v>
      </c>
      <c r="D33" s="219" t="s">
        <v>1005</v>
      </c>
      <c r="E33" s="64"/>
      <c r="F33" s="215" t="s">
        <v>1006</v>
      </c>
      <c r="G33" s="214">
        <f>COUNTIF('reductions data'!A:A,'divisional &amp; regional overview'!B5)</f>
        <v>0</v>
      </c>
    </row>
    <row r="34" spans="2:7" ht="25.5" x14ac:dyDescent="0.25">
      <c r="B34" s="112" t="s">
        <v>907</v>
      </c>
      <c r="C34" s="89">
        <f>COUNTIFS('reductions data'!$A:$A,'divisional &amp; regional overview'!$B$5,'reductions data'!$G:$G,'divisional &amp; regional overview'!B34)</f>
        <v>0</v>
      </c>
      <c r="D34" s="90">
        <f>SUMIFS('reductions data'!$H:$H,'reductions data'!$A:$A,$B$5,'reductions data'!$G:$G,'divisional &amp; regional overview'!B34)</f>
        <v>0</v>
      </c>
      <c r="E34" s="64"/>
      <c r="F34" s="215" t="s">
        <v>1007</v>
      </c>
      <c r="G34" s="214">
        <f>SUMIF('reductions data'!A:A,B5,'reductions data'!H:H)</f>
        <v>0</v>
      </c>
    </row>
    <row r="35" spans="2:7" ht="25.5" x14ac:dyDescent="0.25">
      <c r="B35" s="113" t="s">
        <v>909</v>
      </c>
      <c r="C35" s="89">
        <f>COUNTIFS('reductions data'!$A:$A,'divisional &amp; regional overview'!$B$5,'reductions data'!$G:$G,'divisional &amp; regional overview'!B35)</f>
        <v>0</v>
      </c>
      <c r="D35" s="90">
        <f>SUMIFS('reductions data'!$H:$H,'reductions data'!$A:$A,$B$5,'reductions data'!$G:$G,'divisional &amp; regional overview'!B35)</f>
        <v>0</v>
      </c>
      <c r="E35" s="64"/>
      <c r="F35" s="213" t="s">
        <v>1008</v>
      </c>
      <c r="G35" s="214">
        <f>SUMIF('capacity data'!A:A,B5,'capacity data'!I:I)</f>
        <v>0</v>
      </c>
    </row>
    <row r="36" spans="2:7" ht="38.25" x14ac:dyDescent="0.25">
      <c r="B36" s="113" t="s">
        <v>908</v>
      </c>
      <c r="C36" s="89">
        <f>COUNTIFS('reductions data'!$A:$A,'divisional &amp; regional overview'!$B$5,'reductions data'!$G:$G,'divisional &amp; regional overview'!B36)</f>
        <v>0</v>
      </c>
      <c r="D36" s="90">
        <f>SUMIFS('reductions data'!$H:$H,'reductions data'!$A:$A,$B$5,'reductions data'!$G:$G,'divisional &amp; regional overview'!B36)</f>
        <v>0</v>
      </c>
      <c r="E36" s="91"/>
      <c r="F36" s="213" t="s">
        <v>1009</v>
      </c>
      <c r="G36" s="92" t="e">
        <f>G34/G35</f>
        <v>#DIV/0!</v>
      </c>
    </row>
    <row r="37" spans="2:7" x14ac:dyDescent="0.25">
      <c r="B37" s="113" t="s">
        <v>910</v>
      </c>
      <c r="C37" s="89">
        <f>COUNTIFS('reductions data'!$A:$A,'divisional &amp; regional overview'!$B$5,'reductions data'!$G:$G,'divisional &amp; regional overview'!B37)</f>
        <v>0</v>
      </c>
      <c r="D37" s="90">
        <f>SUMIFS('reductions data'!$H:$H,'reductions data'!$A:$A,$B$5,'reductions data'!$G:$G,'divisional &amp; regional overview'!B37)</f>
        <v>0</v>
      </c>
      <c r="E37" s="91"/>
      <c r="F37" s="422" t="s">
        <v>1010</v>
      </c>
      <c r="G37" s="425" t="e">
        <f>+G36-'div &amp; regional reduction hours'!N18</f>
        <v>#DIV/0!</v>
      </c>
    </row>
    <row r="38" spans="2:7" ht="24" customHeight="1" x14ac:dyDescent="0.25">
      <c r="B38" s="113" t="s">
        <v>911</v>
      </c>
      <c r="C38" s="89">
        <f>COUNTIFS('reductions data'!$A:$A,'divisional &amp; regional overview'!$B$5,'reductions data'!$G:$G,'divisional &amp; regional overview'!B38)</f>
        <v>0</v>
      </c>
      <c r="D38" s="90">
        <f>SUMIFS('reductions data'!$H:$H,'reductions data'!$A:$A,$B$5,'reductions data'!$G:$G,'divisional &amp; regional overview'!B38)</f>
        <v>0</v>
      </c>
      <c r="E38" s="91"/>
      <c r="F38" s="423"/>
      <c r="G38" s="424"/>
    </row>
    <row r="39" spans="2:7" x14ac:dyDescent="0.25">
      <c r="B39" s="113" t="s">
        <v>912</v>
      </c>
      <c r="C39" s="89">
        <f>COUNTIFS('reductions data'!$A:$A,'divisional &amp; regional overview'!$B$5,'reductions data'!$G:$G,'divisional &amp; regional overview'!B39)</f>
        <v>0</v>
      </c>
      <c r="D39" s="90">
        <f>SUMIFS('reductions data'!$H:$H,'reductions data'!$A:$A,$B$5,'reductions data'!$G:$G,'divisional &amp; regional overview'!B39)</f>
        <v>0</v>
      </c>
      <c r="E39" s="91"/>
      <c r="F39" s="424"/>
      <c r="G39" s="424"/>
    </row>
    <row r="40" spans="2:7" x14ac:dyDescent="0.25">
      <c r="B40" s="113" t="s">
        <v>913</v>
      </c>
      <c r="C40" s="89">
        <f>COUNTIFS('reductions data'!$A:$A,'divisional &amp; regional overview'!$B$5,'reductions data'!$G:$G,'divisional &amp; regional overview'!B40)</f>
        <v>0</v>
      </c>
      <c r="D40" s="90">
        <f>SUMIFS('reductions data'!$H:$H,'reductions data'!$A:$A,$B$5,'reductions data'!$G:$G,'divisional &amp; regional overview'!B40)</f>
        <v>0</v>
      </c>
      <c r="E40" s="91"/>
      <c r="F40" s="424"/>
      <c r="G40" s="424"/>
    </row>
    <row r="41" spans="2:7" x14ac:dyDescent="0.25">
      <c r="B41" s="113" t="s">
        <v>914</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25">
      <c r="B42" s="113" t="s">
        <v>1287</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25">
      <c r="B43" s="113" t="s">
        <v>915</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25">
      <c r="B44" s="113" t="s">
        <v>916</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25">
      <c r="B45" s="113" t="s">
        <v>917</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25">
      <c r="B46" s="113" t="s">
        <v>918</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25">
      <c r="B47" s="113" t="s">
        <v>920</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25">
      <c r="B48" s="113" t="s">
        <v>923</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25">
      <c r="B49" s="113" t="s">
        <v>919</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25">
      <c r="B50" s="113" t="s">
        <v>1011</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25">
      <c r="B51" s="113" t="s">
        <v>924</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25">
      <c r="B52" s="113" t="s">
        <v>925</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25">
      <c r="B53" s="113" t="s">
        <v>926</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25">
      <c r="B54" s="113" t="s">
        <v>927</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25">
      <c r="B55" s="113" t="s">
        <v>928</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25">
      <c r="B56" s="113" t="s">
        <v>929</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25">
      <c r="B57" s="113" t="s">
        <v>930</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25">
      <c r="B58" s="113" t="s">
        <v>932</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25">
      <c r="B59" s="113" t="s">
        <v>934</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25">
      <c r="B60" s="113" t="s">
        <v>936</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25">
      <c r="B61" s="113" t="s">
        <v>1280</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25">
      <c r="B62" s="113" t="s">
        <v>1281</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25">
      <c r="B63" s="324" t="s">
        <v>1278</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25">
      <c r="B64" s="324" t="s">
        <v>1279</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25">
      <c r="B65" s="324" t="s">
        <v>1288</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ht="15.75" thickBot="1" x14ac:dyDescent="0.3">
      <c r="B66" s="323" t="s">
        <v>933</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ht="15.75" thickBot="1" x14ac:dyDescent="0.3">
      <c r="B67" s="323" t="s">
        <v>938</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ht="15.75" thickBot="1" x14ac:dyDescent="0.3">
      <c r="B68" s="323" t="s">
        <v>1290</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25">
      <c r="B69" s="324" t="s">
        <v>1284</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25">
      <c r="B70" s="324" t="s">
        <v>1285</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25">
      <c r="B71" s="324" t="s">
        <v>1289</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25">
      <c r="B72" s="113" t="s">
        <v>1282</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25">
      <c r="B73" s="113" t="s">
        <v>1283</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25">
      <c r="B74" s="113" t="s">
        <v>939</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25">
      <c r="B75" s="113" t="s">
        <v>940</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25">
      <c r="B76" s="113" t="s">
        <v>941</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25">
      <c r="B77" s="113" t="s">
        <v>942</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25">
      <c r="B78" s="113" t="s">
        <v>943</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25">
      <c r="B79" s="113" t="s">
        <v>944</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25">
      <c r="B80" s="113" t="s">
        <v>931</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25">
      <c r="B81" s="113" t="s">
        <v>945</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x14ac:dyDescent="0.25">
      <c r="B82" s="113" t="s">
        <v>946</v>
      </c>
      <c r="C82" s="89">
        <f>COUNTIFS('reductions data'!$A:$A,'divisional &amp; regional overview'!$B$5,'reductions data'!$G:$G,'divisional &amp; regional overview'!B82)</f>
        <v>0</v>
      </c>
      <c r="D82" s="90">
        <f>SUMIFS('reductions data'!$H:$H,'reductions data'!$A:$A,$B$5,'reductions data'!$G:$G,'divisional &amp; regional overview'!B82)</f>
        <v>0</v>
      </c>
      <c r="E82" s="91"/>
      <c r="F82" s="91"/>
      <c r="G82" s="64"/>
    </row>
    <row r="83" spans="2:19" x14ac:dyDescent="0.25">
      <c r="B83" s="113" t="s">
        <v>947</v>
      </c>
      <c r="C83" s="89">
        <f>COUNTIFS('reductions data'!$A:$A,'divisional &amp; regional overview'!$B$5,'reductions data'!$G:$G,'divisional &amp; regional overview'!B83)</f>
        <v>0</v>
      </c>
      <c r="D83" s="90">
        <f>SUMIFS('reductions data'!$H:$H,'reductions data'!$A:$A,$B$5,'reductions data'!$G:$G,'divisional &amp; regional overview'!B83)</f>
        <v>0</v>
      </c>
      <c r="E83" s="91"/>
      <c r="F83" s="91"/>
      <c r="G83" s="64"/>
    </row>
    <row r="84" spans="2:19" x14ac:dyDescent="0.25">
      <c r="B84" s="113" t="s">
        <v>948</v>
      </c>
      <c r="C84" s="89">
        <f>COUNTIFS('reductions data'!$A:$A,'divisional &amp; regional overview'!$B$5,'reductions data'!$G:$G,'divisional &amp; regional overview'!B84)</f>
        <v>0</v>
      </c>
      <c r="D84" s="90">
        <f>SUMIFS('reductions data'!$H:$H,'reductions data'!$A:$A,$B$5,'reductions data'!$G:$G,'divisional &amp; regional overview'!B84)</f>
        <v>0</v>
      </c>
      <c r="E84" s="91"/>
      <c r="F84" s="91"/>
      <c r="G84" s="64"/>
    </row>
    <row r="85" spans="2:19" x14ac:dyDescent="0.25">
      <c r="B85" s="113" t="s">
        <v>949</v>
      </c>
      <c r="C85" s="89">
        <f>COUNTIFS('reductions data'!$A:$A,'divisional &amp; regional overview'!$B$5,'reductions data'!$G:$G,'divisional &amp; regional overview'!B85)</f>
        <v>0</v>
      </c>
      <c r="D85" s="90">
        <f>SUMIFS('reductions data'!$H:$H,'reductions data'!$A:$A,$B$5,'reductions data'!$G:$G,'divisional &amp; regional overview'!B85)</f>
        <v>0</v>
      </c>
      <c r="E85" s="91"/>
      <c r="F85" s="91"/>
      <c r="G85" s="64"/>
    </row>
    <row r="86" spans="2:19" x14ac:dyDescent="0.25">
      <c r="B86" s="113" t="s">
        <v>950</v>
      </c>
      <c r="C86" s="89">
        <f>COUNTIFS('reductions data'!$A:$A,'divisional &amp; regional overview'!$B$5,'reductions data'!$G:$G,'divisional &amp; regional overview'!B86)</f>
        <v>0</v>
      </c>
      <c r="D86" s="90">
        <f>SUMIFS('reductions data'!$H:$H,'reductions data'!$A:$A,$B$5,'reductions data'!$G:$G,'divisional &amp; regional overview'!B86)</f>
        <v>0</v>
      </c>
      <c r="E86" s="91"/>
      <c r="F86" s="91"/>
      <c r="G86" s="64"/>
    </row>
    <row r="87" spans="2:19" x14ac:dyDescent="0.25">
      <c r="B87" s="113" t="s">
        <v>951</v>
      </c>
      <c r="C87" s="89">
        <f>COUNTIFS('reductions data'!$A:$A,'divisional &amp; regional overview'!$B$5,'reductions data'!$G:$G,'divisional &amp; regional overview'!B87)</f>
        <v>0</v>
      </c>
      <c r="D87" s="90">
        <f>SUMIFS('reductions data'!$H:$H,'reductions data'!$A:$A,$B$5,'reductions data'!$G:$G,'divisional &amp; regional overview'!B87)</f>
        <v>0</v>
      </c>
      <c r="E87" s="91"/>
      <c r="F87" s="91"/>
      <c r="G87" s="64"/>
    </row>
    <row r="88" spans="2:19" ht="15.75" x14ac:dyDescent="0.25">
      <c r="B88" s="113" t="s">
        <v>952</v>
      </c>
      <c r="C88" s="89">
        <f>COUNTIFS('reductions data'!$A:$A,'divisional &amp; regional overview'!$B$5,'reductions data'!$G:$G,'divisional &amp; regional overview'!B88)</f>
        <v>0</v>
      </c>
      <c r="D88" s="90">
        <f>SUMIFS('reductions data'!$H:$H,'reductions data'!$A:$A,$B$5,'reductions data'!$G:$G,'divisional &amp; regional overview'!B88)</f>
        <v>0</v>
      </c>
      <c r="E88" s="1"/>
      <c r="F88" s="1"/>
    </row>
    <row r="89" spans="2:19" ht="15.75" x14ac:dyDescent="0.25">
      <c r="B89" s="325"/>
      <c r="C89" s="326"/>
      <c r="D89" s="327"/>
      <c r="E89" s="1"/>
      <c r="F89" s="1"/>
    </row>
    <row r="90" spans="2:19" ht="15.75" x14ac:dyDescent="0.25">
      <c r="B90" s="325"/>
      <c r="C90" s="326"/>
      <c r="D90" s="327"/>
      <c r="E90" s="1"/>
      <c r="F90" s="1"/>
    </row>
    <row r="91" spans="2:19" ht="27" customHeight="1" x14ac:dyDescent="0.25">
      <c r="B91" s="21"/>
      <c r="C91" s="431" t="s">
        <v>1012</v>
      </c>
      <c r="D91" s="432"/>
      <c r="E91" s="432"/>
      <c r="F91" s="432"/>
      <c r="G91" s="432"/>
      <c r="H91" s="432"/>
      <c r="I91" s="432"/>
      <c r="J91" s="432"/>
      <c r="K91" s="432"/>
      <c r="L91" s="432"/>
      <c r="M91" s="432"/>
      <c r="N91" s="432"/>
      <c r="O91" s="432"/>
      <c r="P91" s="432"/>
      <c r="Q91" s="432"/>
      <c r="R91" s="432"/>
      <c r="S91" s="432"/>
    </row>
    <row r="92" spans="2:19" x14ac:dyDescent="0.25">
      <c r="B92" s="93" t="str">
        <f>B5</f>
        <v>East Midlands Region</v>
      </c>
      <c r="C92" s="38" t="s">
        <v>879</v>
      </c>
      <c r="D92" s="38" t="s">
        <v>880</v>
      </c>
      <c r="E92" s="38" t="s">
        <v>881</v>
      </c>
      <c r="F92" s="38" t="s">
        <v>882</v>
      </c>
      <c r="G92" s="38" t="s">
        <v>883</v>
      </c>
      <c r="H92" s="38" t="s">
        <v>884</v>
      </c>
      <c r="I92" s="38" t="s">
        <v>885</v>
      </c>
      <c r="J92" s="38" t="s">
        <v>886</v>
      </c>
      <c r="K92" s="38" t="s">
        <v>887</v>
      </c>
      <c r="L92" s="38" t="s">
        <v>888</v>
      </c>
      <c r="M92" s="38" t="s">
        <v>889</v>
      </c>
      <c r="N92" s="38" t="s">
        <v>890</v>
      </c>
      <c r="O92" s="38" t="s">
        <v>891</v>
      </c>
      <c r="P92" s="38" t="s">
        <v>892</v>
      </c>
      <c r="Q92" s="38" t="s">
        <v>893</v>
      </c>
      <c r="R92" s="38" t="s">
        <v>894</v>
      </c>
      <c r="S92" s="38" t="s">
        <v>896</v>
      </c>
    </row>
    <row r="93" spans="2:19" x14ac:dyDescent="0.25">
      <c r="B93" s="75" t="s">
        <v>1013</v>
      </c>
      <c r="C93" s="94">
        <f>SUMIFS('caseload data'!E:E,'caseload data'!$B:$B,"custody",'caseload data'!$A:$A,$B$92)</f>
        <v>0</v>
      </c>
      <c r="D93" s="94">
        <f>SUMIFS('caseload data'!F:F,'caseload data'!$B:$B,"custody",'caseload data'!$A:$A,$B$92)</f>
        <v>0</v>
      </c>
      <c r="E93" s="94">
        <f>SUMIFS('caseload data'!G:G,'caseload data'!$B:$B,"custody",'caseload data'!$A:$A,$B$92)</f>
        <v>0</v>
      </c>
      <c r="F93" s="94">
        <f>SUMIFS('caseload data'!H:H,'caseload data'!$B:$B,"custody",'caseload data'!$A:$A,$B$92)</f>
        <v>0</v>
      </c>
      <c r="G93" s="94">
        <f>SUMIFS('caseload data'!I:I,'caseload data'!$B:$B,"custody",'caseload data'!$A:$A,$B$92)</f>
        <v>0</v>
      </c>
      <c r="H93" s="94">
        <f>SUMIFS('caseload data'!J:J,'caseload data'!$B:$B,"custody",'caseload data'!$A:$A,$B$92)</f>
        <v>0</v>
      </c>
      <c r="I93" s="94">
        <f>SUMIFS('caseload data'!K:K,'caseload data'!$B:$B,"custody",'caseload data'!$A:$A,$B$92)</f>
        <v>0</v>
      </c>
      <c r="J93" s="94">
        <f>SUMIFS('caseload data'!L:L,'caseload data'!$B:$B,"custody",'caseload data'!$A:$A,$B$92)</f>
        <v>0</v>
      </c>
      <c r="K93" s="94">
        <f>SUMIFS('caseload data'!M:M,'caseload data'!$B:$B,"custody",'caseload data'!$A:$A,$B$92)</f>
        <v>0</v>
      </c>
      <c r="L93" s="94">
        <f>SUMIFS('caseload data'!N:N,'caseload data'!$B:$B,"custody",'caseload data'!$A:$A,$B$92)</f>
        <v>0</v>
      </c>
      <c r="M93" s="94">
        <f>SUMIFS('caseload data'!O:O,'caseload data'!$B:$B,"custody",'caseload data'!$A:$A,$B$92)</f>
        <v>0</v>
      </c>
      <c r="N93" s="94">
        <f>SUMIFS('caseload data'!P:P,'caseload data'!$B:$B,"custody",'caseload data'!$A:$A,$B$92)</f>
        <v>0</v>
      </c>
      <c r="O93" s="94">
        <f>SUMIFS('caseload data'!Q:Q,'caseload data'!$B:$B,"custody",'caseload data'!$A:$A,$B$92)</f>
        <v>0</v>
      </c>
      <c r="P93" s="94">
        <f>SUMIFS('caseload data'!R:R,'caseload data'!$B:$B,"custody",'caseload data'!$A:$A,$B$92)</f>
        <v>0</v>
      </c>
      <c r="Q93" s="94">
        <f>SUMIFS('caseload data'!S:S,'caseload data'!$B:$B,"custody",'caseload data'!$A:$A,$B$92)</f>
        <v>0</v>
      </c>
      <c r="R93" s="94">
        <f>SUMIFS('caseload data'!T:T,'caseload data'!$B:$B,"custody",'caseload data'!$A:$A,$B$92)</f>
        <v>0</v>
      </c>
      <c r="S93" s="94">
        <f>SUMIFS('caseload data'!V:V,'caseload data'!A:A,B92,'caseload data'!B:B,"custody")</f>
        <v>0</v>
      </c>
    </row>
    <row r="94" spans="2:19" x14ac:dyDescent="0.25">
      <c r="B94" s="75" t="s">
        <v>1014</v>
      </c>
      <c r="C94" s="75">
        <f>SUMIFS('caseload data'!E:E,'caseload data'!$B:$B,"licence",'caseload data'!$A:$A,$B$92)</f>
        <v>0</v>
      </c>
      <c r="D94" s="75">
        <f>SUMIFS('caseload data'!F:F,'caseload data'!$B:$B,"licence",'caseload data'!$A:$A,$B$92)</f>
        <v>0</v>
      </c>
      <c r="E94" s="75">
        <f>SUMIFS('caseload data'!G:G,'caseload data'!$B:$B,"licence",'caseload data'!$A:$A,$B$92)</f>
        <v>0</v>
      </c>
      <c r="F94" s="75">
        <f>SUMIFS('caseload data'!H:H,'caseload data'!$B:$B,"licence",'caseload data'!$A:$A,$B$92)</f>
        <v>0</v>
      </c>
      <c r="G94" s="75">
        <f>SUMIFS('caseload data'!I:I,'caseload data'!$B:$B,"licence",'caseload data'!$A:$A,$B$92)</f>
        <v>0</v>
      </c>
      <c r="H94" s="75">
        <f>SUMIFS('caseload data'!J:J,'caseload data'!$B:$B,"licence",'caseload data'!$A:$A,$B$92)</f>
        <v>0</v>
      </c>
      <c r="I94" s="75">
        <f>SUMIFS('caseload data'!K:K,'caseload data'!$B:$B,"licence",'caseload data'!$A:$A,$B$92)</f>
        <v>0</v>
      </c>
      <c r="J94" s="75">
        <f>SUMIFS('caseload data'!L:L,'caseload data'!$B:$B,"licence",'caseload data'!$A:$A,$B$92)</f>
        <v>0</v>
      </c>
      <c r="K94" s="75">
        <f>SUMIFS('caseload data'!M:M,'caseload data'!$B:$B,"licence",'caseload data'!$A:$A,$B$92)</f>
        <v>0</v>
      </c>
      <c r="L94" s="75">
        <f>SUMIFS('caseload data'!N:N,'caseload data'!$B:$B,"licence",'caseload data'!$A:$A,$B$92)</f>
        <v>0</v>
      </c>
      <c r="M94" s="75">
        <f>SUMIFS('caseload data'!O:O,'caseload data'!$B:$B,"licence",'caseload data'!$A:$A,$B$92)</f>
        <v>0</v>
      </c>
      <c r="N94" s="75">
        <f>SUMIFS('caseload data'!P:P,'caseload data'!$B:$B,"licence",'caseload data'!$A:$A,$B$92)</f>
        <v>0</v>
      </c>
      <c r="O94" s="75">
        <f>SUMIFS('caseload data'!Q:Q,'caseload data'!$B:$B,"licence",'caseload data'!$A:$A,$B$92)</f>
        <v>0</v>
      </c>
      <c r="P94" s="75">
        <f>SUMIFS('caseload data'!R:R,'caseload data'!$B:$B,"licence",'caseload data'!$A:$A,$B$92)</f>
        <v>0</v>
      </c>
      <c r="Q94" s="75">
        <f>SUMIFS('caseload data'!S:S,'caseload data'!$B:$B,"licence",'caseload data'!$A:$A,$B$92)</f>
        <v>0</v>
      </c>
      <c r="R94" s="75">
        <f>SUMIFS('caseload data'!T:T,'caseload data'!$B:$B,"licence",'caseload data'!$A:$A,$B$92)</f>
        <v>0</v>
      </c>
      <c r="S94" s="75">
        <f>SUMIFS('caseload data'!V:V,'caseload data'!A:A,B92,'caseload data'!B:B,"licence")</f>
        <v>0</v>
      </c>
    </row>
    <row r="95" spans="2:19" x14ac:dyDescent="0.25">
      <c r="B95" s="75" t="s">
        <v>1015</v>
      </c>
      <c r="C95" s="75">
        <f>SUMIFS('caseload data'!E:E,'caseload data'!$B:$B,"community",'caseload data'!$A:$A,$B$92)</f>
        <v>0</v>
      </c>
      <c r="D95" s="75">
        <f>SUMIFS('caseload data'!F:F,'caseload data'!$B:$B,"community",'caseload data'!$A:$A,$B$92)</f>
        <v>0</v>
      </c>
      <c r="E95" s="75">
        <f>SUMIFS('caseload data'!G:G,'caseload data'!$B:$B,"community",'caseload data'!$A:$A,$B$92)</f>
        <v>0</v>
      </c>
      <c r="F95" s="75">
        <f>SUMIFS('caseload data'!H:H,'caseload data'!$B:$B,"community",'caseload data'!$A:$A,$B$92)</f>
        <v>0</v>
      </c>
      <c r="G95" s="75">
        <f>SUMIFS('caseload data'!I:I,'caseload data'!$B:$B,"community",'caseload data'!$A:$A,$B$92)</f>
        <v>0</v>
      </c>
      <c r="H95" s="75">
        <f>SUMIFS('caseload data'!J:J,'caseload data'!$B:$B,"community",'caseload data'!$A:$A,$B$92)</f>
        <v>0</v>
      </c>
      <c r="I95" s="75">
        <f>SUMIFS('caseload data'!K:K,'caseload data'!$B:$B,"community",'caseload data'!$A:$A,$B$92)</f>
        <v>0</v>
      </c>
      <c r="J95" s="75">
        <f>SUMIFS('caseload data'!L:L,'caseload data'!$B:$B,"community",'caseload data'!$A:$A,$B$92)</f>
        <v>0</v>
      </c>
      <c r="K95" s="75">
        <f>SUMIFS('caseload data'!M:M,'caseload data'!$B:$B,"community",'caseload data'!$A:$A,$B$92)</f>
        <v>0</v>
      </c>
      <c r="L95" s="75">
        <f>SUMIFS('caseload data'!N:N,'caseload data'!$B:$B,"community",'caseload data'!$A:$A,$B$92)</f>
        <v>0</v>
      </c>
      <c r="M95" s="75">
        <f>SUMIFS('caseload data'!O:O,'caseload data'!$B:$B,"community",'caseload data'!$A:$A,$B$92)</f>
        <v>0</v>
      </c>
      <c r="N95" s="75">
        <f>SUMIFS('caseload data'!P:P,'caseload data'!$B:$B,"community",'caseload data'!$A:$A,$B$92)</f>
        <v>0</v>
      </c>
      <c r="O95" s="75">
        <f>SUMIFS('caseload data'!Q:Q,'caseload data'!$B:$B,"community",'caseload data'!$A:$A,$B$92)</f>
        <v>0</v>
      </c>
      <c r="P95" s="75">
        <f>SUMIFS('caseload data'!R:R,'caseload data'!$B:$B,"community",'caseload data'!$A:$A,$B$92)</f>
        <v>0</v>
      </c>
      <c r="Q95" s="75">
        <f>SUMIFS('caseload data'!S:S,'caseload data'!$B:$B,"community",'caseload data'!$A:$A,$B$92)</f>
        <v>0</v>
      </c>
      <c r="R95" s="75">
        <f>SUMIFS('caseload data'!T:T,'caseload data'!$B:$B,"community",'caseload data'!$A:$A,$B$92)</f>
        <v>0</v>
      </c>
      <c r="S95" s="75">
        <f>SUMIFS('caseload data'!V:V,'caseload data'!A:A,B92,'caseload data'!B:B,"community")</f>
        <v>0</v>
      </c>
    </row>
    <row r="96" spans="2:19" x14ac:dyDescent="0.25">
      <c r="B96" s="110" t="s">
        <v>1016</v>
      </c>
      <c r="C96" s="110">
        <f>SUMIF('caseload data'!$A:$A,$B$92,'caseload data'!E:E)</f>
        <v>0</v>
      </c>
      <c r="D96" s="110">
        <f>SUMIF('caseload data'!$A:$A,$B$92,'caseload data'!F:F)</f>
        <v>0</v>
      </c>
      <c r="E96" s="110">
        <f>SUMIF('caseload data'!$A:$A,$B$92,'caseload data'!G:G)</f>
        <v>0</v>
      </c>
      <c r="F96" s="110">
        <f>SUMIF('caseload data'!$A:$A,$B$92,'caseload data'!H:H)</f>
        <v>0</v>
      </c>
      <c r="G96" s="110">
        <f>SUMIF('caseload data'!$A:$A,$B$92,'caseload data'!I:I)</f>
        <v>0</v>
      </c>
      <c r="H96" s="110">
        <f>SUMIF('caseload data'!$A:$A,$B$92,'caseload data'!J:J)</f>
        <v>0</v>
      </c>
      <c r="I96" s="110">
        <f>SUMIF('caseload data'!$A:$A,$B$92,'caseload data'!K:K)</f>
        <v>0</v>
      </c>
      <c r="J96" s="110">
        <f>SUMIF('caseload data'!$A:$A,$B$92,'caseload data'!L:L)</f>
        <v>0</v>
      </c>
      <c r="K96" s="110">
        <f>SUMIF('caseload data'!$A:$A,$B$92,'caseload data'!M:M)</f>
        <v>0</v>
      </c>
      <c r="L96" s="110">
        <f>SUMIF('caseload data'!$A:$A,$B$92,'caseload data'!N:N)</f>
        <v>0</v>
      </c>
      <c r="M96" s="110">
        <f>SUMIF('caseload data'!$A:$A,$B$92,'caseload data'!O:O)</f>
        <v>0</v>
      </c>
      <c r="N96" s="110">
        <f>SUMIF('caseload data'!$A:$A,$B$92,'caseload data'!P:P)</f>
        <v>0</v>
      </c>
      <c r="O96" s="110">
        <f>SUMIF('caseload data'!$A:$A,$B$92,'caseload data'!Q:Q)</f>
        <v>0</v>
      </c>
      <c r="P96" s="110">
        <f>SUMIF('caseload data'!$A:$A,$B$92,'caseload data'!R:R)</f>
        <v>0</v>
      </c>
      <c r="Q96" s="110">
        <f>SUMIF('caseload data'!$A:$A,$B$92,'caseload data'!S:S)</f>
        <v>0</v>
      </c>
      <c r="R96" s="110">
        <f>SUMIF('caseload data'!$A:$A,$B$92,'caseload data'!T:T)</f>
        <v>0</v>
      </c>
      <c r="S96" s="110">
        <f>SUMIF('caseload data'!A:A,B92,'caseload data'!V:V)</f>
        <v>0</v>
      </c>
    </row>
    <row r="97" spans="2:37" x14ac:dyDescent="0.25">
      <c r="B97" s="21"/>
      <c r="C97" s="21"/>
      <c r="D97" s="21"/>
      <c r="E97" s="21"/>
      <c r="F97" s="21"/>
      <c r="G97" s="21"/>
      <c r="H97" s="21"/>
      <c r="I97" s="21"/>
      <c r="J97" s="21"/>
    </row>
    <row r="98" spans="2:37" ht="21.75" customHeight="1" x14ac:dyDescent="0.25">
      <c r="B98" s="21"/>
      <c r="C98" s="431" t="s">
        <v>1017</v>
      </c>
      <c r="D98" s="432"/>
      <c r="E98" s="432"/>
      <c r="F98" s="432"/>
      <c r="G98" s="432"/>
      <c r="H98" s="432"/>
      <c r="I98" s="432"/>
      <c r="J98" s="432"/>
      <c r="K98" s="432"/>
      <c r="L98" s="432"/>
      <c r="M98" s="432"/>
      <c r="N98" s="432"/>
      <c r="O98" s="432"/>
      <c r="P98" s="432"/>
      <c r="Q98" s="432"/>
      <c r="R98" s="432"/>
    </row>
    <row r="99" spans="2:37" x14ac:dyDescent="0.25">
      <c r="B99" s="93" t="str">
        <f>B5</f>
        <v>East Midlands Region</v>
      </c>
      <c r="C99" s="38" t="s">
        <v>879</v>
      </c>
      <c r="D99" s="38" t="s">
        <v>880</v>
      </c>
      <c r="E99" s="38" t="s">
        <v>881</v>
      </c>
      <c r="F99" s="38" t="s">
        <v>882</v>
      </c>
      <c r="G99" s="38" t="s">
        <v>883</v>
      </c>
      <c r="H99" s="38" t="s">
        <v>884</v>
      </c>
      <c r="I99" s="38" t="s">
        <v>885</v>
      </c>
      <c r="J99" s="38" t="s">
        <v>886</v>
      </c>
      <c r="K99" s="38" t="s">
        <v>887</v>
      </c>
      <c r="L99" s="38" t="s">
        <v>888</v>
      </c>
      <c r="M99" s="38" t="s">
        <v>889</v>
      </c>
      <c r="N99" s="38" t="s">
        <v>890</v>
      </c>
      <c r="O99" s="38" t="s">
        <v>891</v>
      </c>
      <c r="P99" s="38" t="s">
        <v>892</v>
      </c>
      <c r="Q99" s="38" t="s">
        <v>893</v>
      </c>
      <c r="R99" s="38" t="s">
        <v>894</v>
      </c>
    </row>
    <row r="100" spans="2:37" x14ac:dyDescent="0.25">
      <c r="B100" s="75" t="s">
        <v>1013</v>
      </c>
      <c r="C100" s="66" t="e">
        <f t="shared" ref="C100:R100" si="0">C93/$S$93</f>
        <v>#DIV/0!</v>
      </c>
      <c r="D100" s="66" t="e">
        <f t="shared" si="0"/>
        <v>#DIV/0!</v>
      </c>
      <c r="E100" s="66" t="e">
        <f t="shared" si="0"/>
        <v>#DIV/0!</v>
      </c>
      <c r="F100" s="66" t="e">
        <f t="shared" si="0"/>
        <v>#DIV/0!</v>
      </c>
      <c r="G100" s="66" t="e">
        <f t="shared" si="0"/>
        <v>#DIV/0!</v>
      </c>
      <c r="H100" s="66" t="e">
        <f t="shared" si="0"/>
        <v>#DIV/0!</v>
      </c>
      <c r="I100" s="66" t="e">
        <f t="shared" si="0"/>
        <v>#DIV/0!</v>
      </c>
      <c r="J100" s="66" t="e">
        <f t="shared" si="0"/>
        <v>#DIV/0!</v>
      </c>
      <c r="K100" s="66" t="e">
        <f t="shared" si="0"/>
        <v>#DIV/0!</v>
      </c>
      <c r="L100" s="66" t="e">
        <f t="shared" si="0"/>
        <v>#DIV/0!</v>
      </c>
      <c r="M100" s="66" t="e">
        <f t="shared" si="0"/>
        <v>#DIV/0!</v>
      </c>
      <c r="N100" s="66" t="e">
        <f t="shared" si="0"/>
        <v>#DIV/0!</v>
      </c>
      <c r="O100" s="66" t="e">
        <f t="shared" si="0"/>
        <v>#DIV/0!</v>
      </c>
      <c r="P100" s="66" t="e">
        <f t="shared" si="0"/>
        <v>#DIV/0!</v>
      </c>
      <c r="Q100" s="66" t="e">
        <f t="shared" si="0"/>
        <v>#DIV/0!</v>
      </c>
      <c r="R100" s="66" t="e">
        <f t="shared" si="0"/>
        <v>#DIV/0!</v>
      </c>
    </row>
    <row r="101" spans="2:37" x14ac:dyDescent="0.25">
      <c r="B101" s="75" t="s">
        <v>1014</v>
      </c>
      <c r="C101" s="66" t="e">
        <f t="shared" ref="C101:R101" si="1">C94/$S$94</f>
        <v>#DIV/0!</v>
      </c>
      <c r="D101" s="66" t="e">
        <f t="shared" si="1"/>
        <v>#DIV/0!</v>
      </c>
      <c r="E101" s="66" t="e">
        <f t="shared" si="1"/>
        <v>#DIV/0!</v>
      </c>
      <c r="F101" s="66" t="e">
        <f t="shared" si="1"/>
        <v>#DIV/0!</v>
      </c>
      <c r="G101" s="66" t="e">
        <f t="shared" si="1"/>
        <v>#DIV/0!</v>
      </c>
      <c r="H101" s="66" t="e">
        <f t="shared" si="1"/>
        <v>#DIV/0!</v>
      </c>
      <c r="I101" s="66" t="e">
        <f t="shared" si="1"/>
        <v>#DIV/0!</v>
      </c>
      <c r="J101" s="66" t="e">
        <f t="shared" si="1"/>
        <v>#DIV/0!</v>
      </c>
      <c r="K101" s="66" t="e">
        <f t="shared" si="1"/>
        <v>#DIV/0!</v>
      </c>
      <c r="L101" s="66" t="e">
        <f t="shared" si="1"/>
        <v>#DIV/0!</v>
      </c>
      <c r="M101" s="66" t="e">
        <f t="shared" si="1"/>
        <v>#DIV/0!</v>
      </c>
      <c r="N101" s="66" t="e">
        <f t="shared" si="1"/>
        <v>#DIV/0!</v>
      </c>
      <c r="O101" s="66" t="e">
        <f t="shared" si="1"/>
        <v>#DIV/0!</v>
      </c>
      <c r="P101" s="66" t="e">
        <f t="shared" si="1"/>
        <v>#DIV/0!</v>
      </c>
      <c r="Q101" s="66" t="e">
        <f t="shared" si="1"/>
        <v>#DIV/0!</v>
      </c>
      <c r="R101" s="66" t="e">
        <f t="shared" si="1"/>
        <v>#DIV/0!</v>
      </c>
    </row>
    <row r="102" spans="2:37" x14ac:dyDescent="0.25">
      <c r="B102" s="75" t="s">
        <v>1015</v>
      </c>
      <c r="C102" s="66" t="e">
        <f t="shared" ref="C102:R102" si="2">C95/$S$95</f>
        <v>#DIV/0!</v>
      </c>
      <c r="D102" s="66" t="e">
        <f t="shared" si="2"/>
        <v>#DIV/0!</v>
      </c>
      <c r="E102" s="66" t="e">
        <f t="shared" si="2"/>
        <v>#DIV/0!</v>
      </c>
      <c r="F102" s="66" t="e">
        <f t="shared" si="2"/>
        <v>#DIV/0!</v>
      </c>
      <c r="G102" s="66" t="e">
        <f t="shared" si="2"/>
        <v>#DIV/0!</v>
      </c>
      <c r="H102" s="66" t="e">
        <f t="shared" si="2"/>
        <v>#DIV/0!</v>
      </c>
      <c r="I102" s="66" t="e">
        <f t="shared" si="2"/>
        <v>#DIV/0!</v>
      </c>
      <c r="J102" s="66" t="e">
        <f t="shared" si="2"/>
        <v>#DIV/0!</v>
      </c>
      <c r="K102" s="66" t="e">
        <f t="shared" si="2"/>
        <v>#DIV/0!</v>
      </c>
      <c r="L102" s="66" t="e">
        <f t="shared" si="2"/>
        <v>#DIV/0!</v>
      </c>
      <c r="M102" s="66" t="e">
        <f t="shared" si="2"/>
        <v>#DIV/0!</v>
      </c>
      <c r="N102" s="66" t="e">
        <f t="shared" si="2"/>
        <v>#DIV/0!</v>
      </c>
      <c r="O102" s="66" t="e">
        <f t="shared" si="2"/>
        <v>#DIV/0!</v>
      </c>
      <c r="P102" s="66" t="e">
        <f t="shared" si="2"/>
        <v>#DIV/0!</v>
      </c>
      <c r="Q102" s="66" t="e">
        <f t="shared" si="2"/>
        <v>#DIV/0!</v>
      </c>
      <c r="R102" s="66" t="e">
        <f t="shared" si="2"/>
        <v>#DIV/0!</v>
      </c>
    </row>
    <row r="103" spans="2:37" x14ac:dyDescent="0.25">
      <c r="B103" s="110" t="s">
        <v>1016</v>
      </c>
      <c r="C103" s="99" t="e">
        <f>C96/$S$96</f>
        <v>#DIV/0!</v>
      </c>
      <c r="D103" s="99" t="e">
        <f t="shared" ref="D103:R103" si="3">D96/$S$96</f>
        <v>#DIV/0!</v>
      </c>
      <c r="E103" s="99" t="e">
        <f t="shared" si="3"/>
        <v>#DIV/0!</v>
      </c>
      <c r="F103" s="99" t="e">
        <f t="shared" si="3"/>
        <v>#DIV/0!</v>
      </c>
      <c r="G103" s="99" t="e">
        <f t="shared" si="3"/>
        <v>#DIV/0!</v>
      </c>
      <c r="H103" s="99" t="e">
        <f t="shared" si="3"/>
        <v>#DIV/0!</v>
      </c>
      <c r="I103" s="99" t="e">
        <f t="shared" si="3"/>
        <v>#DIV/0!</v>
      </c>
      <c r="J103" s="99" t="e">
        <f t="shared" si="3"/>
        <v>#DIV/0!</v>
      </c>
      <c r="K103" s="99" t="e">
        <f t="shared" si="3"/>
        <v>#DIV/0!</v>
      </c>
      <c r="L103" s="99" t="e">
        <f t="shared" si="3"/>
        <v>#DIV/0!</v>
      </c>
      <c r="M103" s="99" t="e">
        <f t="shared" si="3"/>
        <v>#DIV/0!</v>
      </c>
      <c r="N103" s="99" t="e">
        <f t="shared" si="3"/>
        <v>#DIV/0!</v>
      </c>
      <c r="O103" s="99" t="e">
        <f t="shared" si="3"/>
        <v>#DIV/0!</v>
      </c>
      <c r="P103" s="99" t="e">
        <f t="shared" si="3"/>
        <v>#DIV/0!</v>
      </c>
      <c r="Q103" s="99" t="e">
        <f t="shared" si="3"/>
        <v>#DIV/0!</v>
      </c>
      <c r="R103" s="99" t="e">
        <f t="shared" si="3"/>
        <v>#DIV/0!</v>
      </c>
    </row>
    <row r="104" spans="2:37" x14ac:dyDescent="0.25">
      <c r="B104" s="21"/>
      <c r="C104" s="21"/>
      <c r="D104" s="21"/>
      <c r="E104" s="21"/>
      <c r="F104" s="21"/>
      <c r="G104" s="21"/>
      <c r="H104" s="21"/>
      <c r="I104" s="21"/>
      <c r="J104" s="21"/>
    </row>
    <row r="105" spans="2:37" ht="23.25" customHeight="1" x14ac:dyDescent="0.25">
      <c r="B105" s="52" t="str">
        <f>B5</f>
        <v>East Midlands Region</v>
      </c>
      <c r="C105" s="431" t="s">
        <v>1020</v>
      </c>
      <c r="D105" s="432"/>
      <c r="E105" s="432"/>
      <c r="F105" s="432"/>
      <c r="G105" s="432"/>
      <c r="H105" s="432"/>
      <c r="I105" s="432"/>
      <c r="J105" s="432"/>
      <c r="K105" s="432"/>
      <c r="L105" s="432"/>
      <c r="M105" s="432"/>
      <c r="N105" s="432"/>
      <c r="O105" s="432"/>
      <c r="P105" s="432"/>
      <c r="Q105" s="432"/>
      <c r="R105" s="432"/>
      <c r="U105" s="52" t="str">
        <f>B5</f>
        <v>East Midlands Region</v>
      </c>
      <c r="V105" s="420" t="s">
        <v>1021</v>
      </c>
      <c r="W105" s="421"/>
      <c r="X105" s="421"/>
      <c r="Y105" s="421"/>
      <c r="Z105" s="421"/>
      <c r="AA105" s="421"/>
      <c r="AB105" s="421"/>
      <c r="AC105" s="421"/>
      <c r="AD105" s="421"/>
      <c r="AE105" s="421"/>
      <c r="AF105" s="421"/>
      <c r="AG105" s="421"/>
      <c r="AH105" s="421"/>
      <c r="AI105" s="421"/>
      <c r="AJ105" s="421"/>
      <c r="AK105" s="421"/>
    </row>
    <row r="106" spans="2:37" ht="18" x14ac:dyDescent="0.25">
      <c r="B106" s="284" t="s">
        <v>1022</v>
      </c>
      <c r="C106" s="38" t="s">
        <v>879</v>
      </c>
      <c r="D106" s="38" t="s">
        <v>880</v>
      </c>
      <c r="E106" s="38" t="s">
        <v>881</v>
      </c>
      <c r="F106" s="38" t="s">
        <v>882</v>
      </c>
      <c r="G106" s="38" t="s">
        <v>883</v>
      </c>
      <c r="H106" s="38" t="s">
        <v>884</v>
      </c>
      <c r="I106" s="38" t="s">
        <v>885</v>
      </c>
      <c r="J106" s="38" t="s">
        <v>886</v>
      </c>
      <c r="K106" s="38" t="s">
        <v>887</v>
      </c>
      <c r="L106" s="38" t="s">
        <v>888</v>
      </c>
      <c r="M106" s="38" t="s">
        <v>889</v>
      </c>
      <c r="N106" s="38" t="s">
        <v>890</v>
      </c>
      <c r="O106" s="38" t="s">
        <v>891</v>
      </c>
      <c r="P106" s="38" t="s">
        <v>892</v>
      </c>
      <c r="Q106" s="38" t="s">
        <v>893</v>
      </c>
      <c r="R106" s="38" t="s">
        <v>894</v>
      </c>
      <c r="U106" s="95" t="s">
        <v>1023</v>
      </c>
      <c r="V106" s="38" t="s">
        <v>879</v>
      </c>
      <c r="W106" s="38" t="s">
        <v>880</v>
      </c>
      <c r="X106" s="38" t="s">
        <v>881</v>
      </c>
      <c r="Y106" s="38" t="s">
        <v>882</v>
      </c>
      <c r="Z106" s="38" t="s">
        <v>883</v>
      </c>
      <c r="AA106" s="38" t="s">
        <v>884</v>
      </c>
      <c r="AB106" s="38" t="s">
        <v>885</v>
      </c>
      <c r="AC106" s="38" t="s">
        <v>886</v>
      </c>
      <c r="AD106" s="38" t="s">
        <v>887</v>
      </c>
      <c r="AE106" s="38" t="s">
        <v>888</v>
      </c>
      <c r="AF106" s="38" t="s">
        <v>889</v>
      </c>
      <c r="AG106" s="38" t="s">
        <v>890</v>
      </c>
      <c r="AH106" s="38" t="s">
        <v>891</v>
      </c>
      <c r="AI106" s="38" t="s">
        <v>892</v>
      </c>
      <c r="AJ106" s="38" t="s">
        <v>893</v>
      </c>
      <c r="AK106" s="38" t="s">
        <v>894</v>
      </c>
    </row>
    <row r="107" spans="2:37" x14ac:dyDescent="0.25">
      <c r="B107" s="96" t="s">
        <v>1019</v>
      </c>
      <c r="C107" s="94">
        <f>SUMIFS('caseload data'!E:E,'caseload data'!$D:$D,"PO",'caseload data'!$A:$A,'divisional &amp; regional overview'!$B$105,'caseload data'!$B:$B,"community")</f>
        <v>0</v>
      </c>
      <c r="D107" s="94">
        <f>SUMIFS('caseload data'!F:F,'caseload data'!$D:$D,"PO",'caseload data'!$A:$A,'divisional &amp; regional overview'!$B$105,'caseload data'!$B:$B,"community")</f>
        <v>0</v>
      </c>
      <c r="E107" s="94">
        <f>SUMIFS('caseload data'!G:G,'caseload data'!$D:$D,"PO",'caseload data'!$A:$A,'divisional &amp; regional overview'!$B$105,'caseload data'!$B:$B,"community")</f>
        <v>0</v>
      </c>
      <c r="F107" s="94">
        <f>SUMIFS('caseload data'!H:H,'caseload data'!$D:$D,"PO",'caseload data'!$A:$A,'divisional &amp; regional overview'!$B$105,'caseload data'!$B:$B,"community")</f>
        <v>0</v>
      </c>
      <c r="G107" s="94">
        <f>SUMIFS('caseload data'!I:I,'caseload data'!$D:$D,"PO",'caseload data'!$A:$A,'divisional &amp; regional overview'!$B$105,'caseload data'!$B:$B,"community")</f>
        <v>0</v>
      </c>
      <c r="H107" s="94">
        <f>SUMIFS('caseload data'!J:J,'caseload data'!$D:$D,"PO",'caseload data'!$A:$A,'divisional &amp; regional overview'!$B$105,'caseload data'!$B:$B,"community")</f>
        <v>0</v>
      </c>
      <c r="I107" s="94">
        <f>SUMIFS('caseload data'!K:K,'caseload data'!$D:$D,"PO",'caseload data'!$A:$A,'divisional &amp; regional overview'!$B$105,'caseload data'!$B:$B,"community")</f>
        <v>0</v>
      </c>
      <c r="J107" s="94">
        <f>SUMIFS('caseload data'!L:L,'caseload data'!$D:$D,"PO",'caseload data'!$A:$A,'divisional &amp; regional overview'!$B$105,'caseload data'!$B:$B,"community")</f>
        <v>0</v>
      </c>
      <c r="K107" s="94">
        <f>SUMIFS('caseload data'!M:M,'caseload data'!$D:$D,"PO",'caseload data'!$A:$A,'divisional &amp; regional overview'!$B$105,'caseload data'!$B:$B,"community")</f>
        <v>0</v>
      </c>
      <c r="L107" s="94">
        <f>SUMIFS('caseload data'!N:N,'caseload data'!$D:$D,"PO",'caseload data'!$A:$A,'divisional &amp; regional overview'!$B$105,'caseload data'!$B:$B,"community")</f>
        <v>0</v>
      </c>
      <c r="M107" s="94">
        <f>SUMIFS('caseload data'!O:O,'caseload data'!$D:$D,"PO",'caseload data'!$A:$A,'divisional &amp; regional overview'!$B$105,'caseload data'!$B:$B,"community")</f>
        <v>0</v>
      </c>
      <c r="N107" s="94">
        <f>SUMIFS('caseload data'!P:P,'caseload data'!$D:$D,"PO",'caseload data'!$A:$A,'divisional &amp; regional overview'!$B$105,'caseload data'!$B:$B,"community")</f>
        <v>0</v>
      </c>
      <c r="O107" s="94">
        <f>SUMIFS('caseload data'!Q:Q,'caseload data'!$D:$D,"PO",'caseload data'!$A:$A,'divisional &amp; regional overview'!$B$105,'caseload data'!$B:$B,"community")</f>
        <v>0</v>
      </c>
      <c r="P107" s="94">
        <f>SUMIFS('caseload data'!R:R,'caseload data'!$D:$D,"PO",'caseload data'!$A:$A,'divisional &amp; regional overview'!$B$105,'caseload data'!$B:$B,"community")</f>
        <v>0</v>
      </c>
      <c r="Q107" s="94">
        <f>SUMIFS('caseload data'!S:S,'caseload data'!$D:$D,"PO",'caseload data'!$A:$A,'divisional &amp; regional overview'!$B$105,'caseload data'!$B:$B,"community")</f>
        <v>0</v>
      </c>
      <c r="R107" s="94">
        <f>SUMIFS('caseload data'!T:T,'caseload data'!$D:$D,"PO",'caseload data'!$A:$A,'divisional &amp; regional overview'!$B$105,'caseload data'!$B:$B,"community")</f>
        <v>0</v>
      </c>
      <c r="U107" s="96" t="s">
        <v>1019</v>
      </c>
      <c r="V107" s="167" t="e">
        <f>C$107/SUM(C$107:C$110)</f>
        <v>#DIV/0!</v>
      </c>
      <c r="W107" s="167" t="e">
        <f>D$107/SUM(D$107:D$110)</f>
        <v>#DIV/0!</v>
      </c>
      <c r="X107" s="167" t="e">
        <f t="shared" ref="X107:AK107" si="4">E$107/SUM(E$107:E$110)</f>
        <v>#DIV/0!</v>
      </c>
      <c r="Y107" s="167" t="e">
        <f t="shared" si="4"/>
        <v>#DIV/0!</v>
      </c>
      <c r="Z107" s="167" t="e">
        <f t="shared" si="4"/>
        <v>#DIV/0!</v>
      </c>
      <c r="AA107" s="167" t="e">
        <f t="shared" si="4"/>
        <v>#DIV/0!</v>
      </c>
      <c r="AB107" s="167" t="e">
        <f t="shared" si="4"/>
        <v>#DIV/0!</v>
      </c>
      <c r="AC107" s="167" t="e">
        <f t="shared" si="4"/>
        <v>#DIV/0!</v>
      </c>
      <c r="AD107" s="167" t="e">
        <f t="shared" si="4"/>
        <v>#DIV/0!</v>
      </c>
      <c r="AE107" s="167" t="e">
        <f t="shared" si="4"/>
        <v>#DIV/0!</v>
      </c>
      <c r="AF107" s="167" t="e">
        <f t="shared" si="4"/>
        <v>#DIV/0!</v>
      </c>
      <c r="AG107" s="167" t="e">
        <f t="shared" si="4"/>
        <v>#DIV/0!</v>
      </c>
      <c r="AH107" s="167" t="e">
        <f t="shared" si="4"/>
        <v>#DIV/0!</v>
      </c>
      <c r="AI107" s="167" t="e">
        <f t="shared" si="4"/>
        <v>#DIV/0!</v>
      </c>
      <c r="AJ107" s="167" t="e">
        <f t="shared" si="4"/>
        <v>#DIV/0!</v>
      </c>
      <c r="AK107" s="167" t="e">
        <f t="shared" si="4"/>
        <v>#DIV/0!</v>
      </c>
    </row>
    <row r="108" spans="2:37" x14ac:dyDescent="0.25">
      <c r="B108" s="97" t="s">
        <v>1024</v>
      </c>
      <c r="C108" s="94">
        <f>SUMIFS('caseload data'!E:E,'caseload data'!$D:$D,"PSO",'caseload data'!$A:$A,'divisional &amp; regional overview'!$B$105,'caseload data'!$B:$B,"community")</f>
        <v>0</v>
      </c>
      <c r="D108" s="94">
        <f>SUMIFS('caseload data'!F:F,'caseload data'!$D:$D,"PSO",'caseload data'!$A:$A,'divisional &amp; regional overview'!$B$105,'caseload data'!$B:$B,"community")</f>
        <v>0</v>
      </c>
      <c r="E108" s="94">
        <f>SUMIFS('caseload data'!G:G,'caseload data'!$D:$D,"PSO",'caseload data'!$A:$A,'divisional &amp; regional overview'!$B$105,'caseload data'!$B:$B,"community")</f>
        <v>0</v>
      </c>
      <c r="F108" s="94">
        <f>SUMIFS('caseload data'!H:H,'caseload data'!$D:$D,"PSO",'caseload data'!$A:$A,'divisional &amp; regional overview'!$B$105,'caseload data'!$B:$B,"community")</f>
        <v>0</v>
      </c>
      <c r="G108" s="94">
        <f>SUMIFS('caseload data'!I:I,'caseload data'!$D:$D,"PSO",'caseload data'!$A:$A,'divisional &amp; regional overview'!$B$105,'caseload data'!$B:$B,"community")</f>
        <v>0</v>
      </c>
      <c r="H108" s="94">
        <f>SUMIFS('caseload data'!J:J,'caseload data'!$D:$D,"PSO",'caseload data'!$A:$A,'divisional &amp; regional overview'!$B$105,'caseload data'!$B:$B,"community")</f>
        <v>0</v>
      </c>
      <c r="I108" s="94">
        <f>SUMIFS('caseload data'!K:K,'caseload data'!$D:$D,"PSO",'caseload data'!$A:$A,'divisional &amp; regional overview'!$B$105,'caseload data'!$B:$B,"community")</f>
        <v>0</v>
      </c>
      <c r="J108" s="94">
        <f>SUMIFS('caseload data'!L:L,'caseload data'!$D:$D,"PSO",'caseload data'!$A:$A,'divisional &amp; regional overview'!$B$105,'caseload data'!$B:$B,"community")</f>
        <v>0</v>
      </c>
      <c r="K108" s="94">
        <f>SUMIFS('caseload data'!M:M,'caseload data'!$D:$D,"PSO",'caseload data'!$A:$A,'divisional &amp; regional overview'!$B$105,'caseload data'!$B:$B,"community")</f>
        <v>0</v>
      </c>
      <c r="L108" s="94">
        <f>SUMIFS('caseload data'!N:N,'caseload data'!$D:$D,"PSO",'caseload data'!$A:$A,'divisional &amp; regional overview'!$B$105,'caseload data'!$B:$B,"community")</f>
        <v>0</v>
      </c>
      <c r="M108" s="94">
        <f>SUMIFS('caseload data'!O:O,'caseload data'!$D:$D,"PSO",'caseload data'!$A:$A,'divisional &amp; regional overview'!$B$105,'caseload data'!$B:$B,"community")</f>
        <v>0</v>
      </c>
      <c r="N108" s="94">
        <f>SUMIFS('caseload data'!P:P,'caseload data'!$D:$D,"PSO",'caseload data'!$A:$A,'divisional &amp; regional overview'!$B$105,'caseload data'!$B:$B,"community")</f>
        <v>0</v>
      </c>
      <c r="O108" s="94">
        <f>SUMIFS('caseload data'!Q:Q,'caseload data'!$D:$D,"PSO",'caseload data'!$A:$A,'divisional &amp; regional overview'!$B$105,'caseload data'!$B:$B,"community")</f>
        <v>0</v>
      </c>
      <c r="P108" s="94">
        <f>SUMIFS('caseload data'!R:R,'caseload data'!$D:$D,"PSO",'caseload data'!$A:$A,'divisional &amp; regional overview'!$B$105,'caseload data'!$B:$B,"community")</f>
        <v>0</v>
      </c>
      <c r="Q108" s="94">
        <f>SUMIFS('caseload data'!S:S,'caseload data'!$D:$D,"PSO",'caseload data'!$A:$A,'divisional &amp; regional overview'!$B$105,'caseload data'!$B:$B,"community")</f>
        <v>0</v>
      </c>
      <c r="R108" s="94">
        <f>SUMIFS('caseload data'!T:T,'caseload data'!$D:$D,"PSO",'caseload data'!$A:$A,'divisional &amp; regional overview'!$B$105,'caseload data'!$B:$B,"community")</f>
        <v>0</v>
      </c>
      <c r="U108" s="97" t="s">
        <v>1024</v>
      </c>
      <c r="V108" s="167" t="e">
        <f>C$108/SUM(C$107:C$110)</f>
        <v>#DIV/0!</v>
      </c>
      <c r="W108" s="167" t="e">
        <f>D$108/SUM(D$107:D$110)</f>
        <v>#DIV/0!</v>
      </c>
      <c r="X108" s="167" t="e">
        <f t="shared" ref="X108:AK108" si="5">E$108/SUM(E$107:E$110)</f>
        <v>#DIV/0!</v>
      </c>
      <c r="Y108" s="167" t="e">
        <f t="shared" si="5"/>
        <v>#DIV/0!</v>
      </c>
      <c r="Z108" s="167" t="e">
        <f t="shared" si="5"/>
        <v>#DIV/0!</v>
      </c>
      <c r="AA108" s="167" t="e">
        <f t="shared" si="5"/>
        <v>#DIV/0!</v>
      </c>
      <c r="AB108" s="167" t="e">
        <f t="shared" si="5"/>
        <v>#DIV/0!</v>
      </c>
      <c r="AC108" s="167" t="e">
        <f t="shared" si="5"/>
        <v>#DIV/0!</v>
      </c>
      <c r="AD108" s="167" t="e">
        <f t="shared" si="5"/>
        <v>#DIV/0!</v>
      </c>
      <c r="AE108" s="167" t="e">
        <f t="shared" si="5"/>
        <v>#DIV/0!</v>
      </c>
      <c r="AF108" s="167" t="e">
        <f t="shared" si="5"/>
        <v>#DIV/0!</v>
      </c>
      <c r="AG108" s="167" t="e">
        <f t="shared" si="5"/>
        <v>#DIV/0!</v>
      </c>
      <c r="AH108" s="167" t="e">
        <f t="shared" si="5"/>
        <v>#DIV/0!</v>
      </c>
      <c r="AI108" s="167" t="e">
        <f t="shared" si="5"/>
        <v>#DIV/0!</v>
      </c>
      <c r="AJ108" s="167" t="e">
        <f t="shared" si="5"/>
        <v>#DIV/0!</v>
      </c>
      <c r="AK108" s="167" t="e">
        <f t="shared" si="5"/>
        <v>#DIV/0!</v>
      </c>
    </row>
    <row r="109" spans="2:37" x14ac:dyDescent="0.25">
      <c r="B109" s="97" t="s">
        <v>1025</v>
      </c>
      <c r="C109" s="94">
        <f>SUMIFS('caseload data'!E:E,'caseload data'!$D:$D,"TPO",'caseload data'!$A:$A,'divisional &amp; regional overview'!$B$105,'caseload data'!$B:$B,"community")</f>
        <v>0</v>
      </c>
      <c r="D109" s="94">
        <f>SUMIFS('caseload data'!F:F,'caseload data'!$D:$D,"TPO",'caseload data'!$A:$A,'divisional &amp; regional overview'!$B$105,'caseload data'!$B:$B,"community")</f>
        <v>0</v>
      </c>
      <c r="E109" s="94">
        <f>SUMIFS('caseload data'!G:G,'caseload data'!$D:$D,"TPO",'caseload data'!$A:$A,'divisional &amp; regional overview'!$B$105,'caseload data'!$B:$B,"community")</f>
        <v>0</v>
      </c>
      <c r="F109" s="94">
        <f>SUMIFS('caseload data'!H:H,'caseload data'!$D:$D,"TPO",'caseload data'!$A:$A,'divisional &amp; regional overview'!$B$105,'caseload data'!$B:$B,"community")</f>
        <v>0</v>
      </c>
      <c r="G109" s="94">
        <f>SUMIFS('caseload data'!I:I,'caseload data'!$D:$D,"TPO",'caseload data'!$A:$A,'divisional &amp; regional overview'!$B$105,'caseload data'!$B:$B,"community")</f>
        <v>0</v>
      </c>
      <c r="H109" s="94">
        <f>SUMIFS('caseload data'!J:J,'caseload data'!$D:$D,"TPO",'caseload data'!$A:$A,'divisional &amp; regional overview'!$B$105,'caseload data'!$B:$B,"community")</f>
        <v>0</v>
      </c>
      <c r="I109" s="94">
        <f>SUMIFS('caseload data'!K:K,'caseload data'!$D:$D,"TPO",'caseload data'!$A:$A,'divisional &amp; regional overview'!$B$105,'caseload data'!$B:$B,"community")</f>
        <v>0</v>
      </c>
      <c r="J109" s="94">
        <f>SUMIFS('caseload data'!L:L,'caseload data'!$D:$D,"TPO",'caseload data'!$A:$A,'divisional &amp; regional overview'!$B$105,'caseload data'!$B:$B,"community")</f>
        <v>0</v>
      </c>
      <c r="K109" s="94">
        <f>SUMIFS('caseload data'!M:M,'caseload data'!$D:$D,"TPO",'caseload data'!$A:$A,'divisional &amp; regional overview'!$B$105,'caseload data'!$B:$B,"community")</f>
        <v>0</v>
      </c>
      <c r="L109" s="94">
        <f>SUMIFS('caseload data'!N:N,'caseload data'!$D:$D,"TPO",'caseload data'!$A:$A,'divisional &amp; regional overview'!$B$105,'caseload data'!$B:$B,"community")</f>
        <v>0</v>
      </c>
      <c r="M109" s="94">
        <f>SUMIFS('caseload data'!O:O,'caseload data'!$D:$D,"TPO",'caseload data'!$A:$A,'divisional &amp; regional overview'!$B$105,'caseload data'!$B:$B,"community")</f>
        <v>0</v>
      </c>
      <c r="N109" s="94">
        <f>SUMIFS('caseload data'!P:P,'caseload data'!$D:$D,"TPO",'caseload data'!$A:$A,'divisional &amp; regional overview'!$B$105,'caseload data'!$B:$B,"community")</f>
        <v>0</v>
      </c>
      <c r="O109" s="94">
        <f>SUMIFS('caseload data'!Q:Q,'caseload data'!$D:$D,"TPO",'caseload data'!$A:$A,'divisional &amp; regional overview'!$B$105,'caseload data'!$B:$B,"community")</f>
        <v>0</v>
      </c>
      <c r="P109" s="94">
        <f>SUMIFS('caseload data'!R:R,'caseload data'!$D:$D,"TPO",'caseload data'!$A:$A,'divisional &amp; regional overview'!$B$105,'caseload data'!$B:$B,"community")</f>
        <v>0</v>
      </c>
      <c r="Q109" s="94">
        <f>SUMIFS('caseload data'!S:S,'caseload data'!$D:$D,"TPO",'caseload data'!$A:$A,'divisional &amp; regional overview'!$B$105,'caseload data'!$B:$B,"community")</f>
        <v>0</v>
      </c>
      <c r="R109" s="94">
        <f>SUMIFS('caseload data'!T:T,'caseload data'!$D:$D,"TPO",'caseload data'!$A:$A,'divisional &amp; regional overview'!$B$105,'caseload data'!$B:$B,"community")</f>
        <v>0</v>
      </c>
      <c r="U109" s="97" t="s">
        <v>1025</v>
      </c>
      <c r="V109" s="167" t="e">
        <f>C$109/SUM(C$107:C$110)</f>
        <v>#DIV/0!</v>
      </c>
      <c r="W109" s="167" t="e">
        <f>D$109/SUM(D$107:D$110)</f>
        <v>#DIV/0!</v>
      </c>
      <c r="X109" s="167" t="e">
        <f t="shared" ref="X109:AK109" si="6">E$109/SUM(E$107:E$110)</f>
        <v>#DIV/0!</v>
      </c>
      <c r="Y109" s="167" t="e">
        <f t="shared" si="6"/>
        <v>#DIV/0!</v>
      </c>
      <c r="Z109" s="167" t="e">
        <f t="shared" si="6"/>
        <v>#DIV/0!</v>
      </c>
      <c r="AA109" s="167" t="e">
        <f t="shared" si="6"/>
        <v>#DIV/0!</v>
      </c>
      <c r="AB109" s="167" t="e">
        <f t="shared" si="6"/>
        <v>#DIV/0!</v>
      </c>
      <c r="AC109" s="167" t="e">
        <f t="shared" si="6"/>
        <v>#DIV/0!</v>
      </c>
      <c r="AD109" s="167" t="e">
        <f t="shared" si="6"/>
        <v>#DIV/0!</v>
      </c>
      <c r="AE109" s="167" t="e">
        <f t="shared" si="6"/>
        <v>#DIV/0!</v>
      </c>
      <c r="AF109" s="167" t="e">
        <f t="shared" si="6"/>
        <v>#DIV/0!</v>
      </c>
      <c r="AG109" s="167" t="e">
        <f t="shared" si="6"/>
        <v>#DIV/0!</v>
      </c>
      <c r="AH109" s="167" t="e">
        <f t="shared" si="6"/>
        <v>#DIV/0!</v>
      </c>
      <c r="AI109" s="167" t="e">
        <f t="shared" si="6"/>
        <v>#DIV/0!</v>
      </c>
      <c r="AJ109" s="167" t="e">
        <f t="shared" si="6"/>
        <v>#DIV/0!</v>
      </c>
      <c r="AK109" s="167" t="e">
        <f t="shared" si="6"/>
        <v>#DIV/0!</v>
      </c>
    </row>
    <row r="110" spans="2:37" x14ac:dyDescent="0.25">
      <c r="B110" s="98" t="s">
        <v>1026</v>
      </c>
      <c r="C110" s="94">
        <f>SUMIFS('caseload data'!E:E,'caseload data'!$D:$D,"SPO",'caseload data'!$A:$A,'divisional &amp; regional overview'!$B$105,'caseload data'!$B:$B,"community")</f>
        <v>0</v>
      </c>
      <c r="D110" s="94">
        <f>SUMIFS('caseload data'!F:F,'caseload data'!$D:$D,"SPO",'caseload data'!$A:$A,'divisional &amp; regional overview'!$B$105,'caseload data'!$B:$B,"community")</f>
        <v>0</v>
      </c>
      <c r="E110" s="94">
        <f>SUMIFS('caseload data'!G:G,'caseload data'!$D:$D,"SPO",'caseload data'!$A:$A,'divisional &amp; regional overview'!$B$105,'caseload data'!$B:$B,"community")</f>
        <v>0</v>
      </c>
      <c r="F110" s="94">
        <f>SUMIFS('caseload data'!H:H,'caseload data'!$D:$D,"SPO",'caseload data'!$A:$A,'divisional &amp; regional overview'!$B$105,'caseload data'!$B:$B,"community")</f>
        <v>0</v>
      </c>
      <c r="G110" s="94">
        <f>SUMIFS('caseload data'!I:I,'caseload data'!$D:$D,"SPO",'caseload data'!$A:$A,'divisional &amp; regional overview'!$B$105,'caseload data'!$B:$B,"community")</f>
        <v>0</v>
      </c>
      <c r="H110" s="94">
        <f>SUMIFS('caseload data'!J:J,'caseload data'!$D:$D,"SPO",'caseload data'!$A:$A,'divisional &amp; regional overview'!$B$105,'caseload data'!$B:$B,"community")</f>
        <v>0</v>
      </c>
      <c r="I110" s="94">
        <f>SUMIFS('caseload data'!K:K,'caseload data'!$D:$D,"SPO",'caseload data'!$A:$A,'divisional &amp; regional overview'!$B$105,'caseload data'!$B:$B,"community")</f>
        <v>0</v>
      </c>
      <c r="J110" s="94">
        <f>SUMIFS('caseload data'!L:L,'caseload data'!$D:$D,"SPO",'caseload data'!$A:$A,'divisional &amp; regional overview'!$B$105,'caseload data'!$B:$B,"community")</f>
        <v>0</v>
      </c>
      <c r="K110" s="94">
        <f>SUMIFS('caseload data'!M:M,'caseload data'!$D:$D,"SPO",'caseload data'!$A:$A,'divisional &amp; regional overview'!$B$105,'caseload data'!$B:$B,"community")</f>
        <v>0</v>
      </c>
      <c r="L110" s="94">
        <f>SUMIFS('caseload data'!N:N,'caseload data'!$D:$D,"SPO",'caseload data'!$A:$A,'divisional &amp; regional overview'!$B$105,'caseload data'!$B:$B,"community")</f>
        <v>0</v>
      </c>
      <c r="M110" s="94">
        <f>SUMIFS('caseload data'!O:O,'caseload data'!$D:$D,"SPO",'caseload data'!$A:$A,'divisional &amp; regional overview'!$B$105,'caseload data'!$B:$B,"community")</f>
        <v>0</v>
      </c>
      <c r="N110" s="94">
        <f>SUMIFS('caseload data'!P:P,'caseload data'!$D:$D,"SPO",'caseload data'!$A:$A,'divisional &amp; regional overview'!$B$105,'caseload data'!$B:$B,"community")</f>
        <v>0</v>
      </c>
      <c r="O110" s="94">
        <f>SUMIFS('caseload data'!Q:Q,'caseload data'!$D:$D,"SPO",'caseload data'!$A:$A,'divisional &amp; regional overview'!$B$105,'caseload data'!$B:$B,"community")</f>
        <v>0</v>
      </c>
      <c r="P110" s="94">
        <f>SUMIFS('caseload data'!R:R,'caseload data'!$D:$D,"SPO",'caseload data'!$A:$A,'divisional &amp; regional overview'!$B$105,'caseload data'!$B:$B,"community")</f>
        <v>0</v>
      </c>
      <c r="Q110" s="94">
        <f>SUMIFS('caseload data'!S:S,'caseload data'!$D:$D,"SPO",'caseload data'!$A:$A,'divisional &amp; regional overview'!$B$105,'caseload data'!$B:$B,"community")</f>
        <v>0</v>
      </c>
      <c r="R110" s="94">
        <f>SUMIFS('caseload data'!T:T,'caseload data'!$D:$D,"SPO",'caseload data'!$A:$A,'divisional &amp; regional overview'!$B$105,'caseload data'!$B:$B,"community")</f>
        <v>0</v>
      </c>
      <c r="U110" s="98" t="s">
        <v>1026</v>
      </c>
      <c r="V110" s="167" t="e">
        <f>C$110/SUM(C$107:C$110)</f>
        <v>#DIV/0!</v>
      </c>
      <c r="W110" s="167" t="e">
        <f>D$110/SUM(D$107:D$110)</f>
        <v>#DIV/0!</v>
      </c>
      <c r="X110" s="167" t="e">
        <f t="shared" ref="X110:AK110" si="7">E$110/SUM(E$107:E$110)</f>
        <v>#DIV/0!</v>
      </c>
      <c r="Y110" s="167" t="e">
        <f t="shared" si="7"/>
        <v>#DIV/0!</v>
      </c>
      <c r="Z110" s="167" t="e">
        <f t="shared" si="7"/>
        <v>#DIV/0!</v>
      </c>
      <c r="AA110" s="167" t="e">
        <f t="shared" si="7"/>
        <v>#DIV/0!</v>
      </c>
      <c r="AB110" s="167" t="e">
        <f t="shared" si="7"/>
        <v>#DIV/0!</v>
      </c>
      <c r="AC110" s="167" t="e">
        <f t="shared" si="7"/>
        <v>#DIV/0!</v>
      </c>
      <c r="AD110" s="167" t="e">
        <f t="shared" si="7"/>
        <v>#DIV/0!</v>
      </c>
      <c r="AE110" s="167" t="e">
        <f t="shared" si="7"/>
        <v>#DIV/0!</v>
      </c>
      <c r="AF110" s="167" t="e">
        <f t="shared" si="7"/>
        <v>#DIV/0!</v>
      </c>
      <c r="AG110" s="167" t="e">
        <f t="shared" si="7"/>
        <v>#DIV/0!</v>
      </c>
      <c r="AH110" s="167" t="e">
        <f t="shared" si="7"/>
        <v>#DIV/0!</v>
      </c>
      <c r="AI110" s="167" t="e">
        <f t="shared" si="7"/>
        <v>#DIV/0!</v>
      </c>
      <c r="AJ110" s="167" t="e">
        <f t="shared" si="7"/>
        <v>#DIV/0!</v>
      </c>
      <c r="AK110" s="167" t="e">
        <f t="shared" si="7"/>
        <v>#DIV/0!</v>
      </c>
    </row>
    <row r="111" spans="2:37" x14ac:dyDescent="0.25">
      <c r="B111" s="21"/>
    </row>
    <row r="112" spans="2:37" ht="25.5" customHeight="1" x14ac:dyDescent="0.3">
      <c r="B112" s="52" t="str">
        <f>B5</f>
        <v>East Midlands Region</v>
      </c>
      <c r="C112" s="433" t="s">
        <v>1027</v>
      </c>
      <c r="D112" s="434"/>
      <c r="E112" s="434"/>
      <c r="F112" s="434"/>
      <c r="G112" s="434"/>
      <c r="H112" s="434"/>
      <c r="I112" s="434"/>
      <c r="J112" s="434"/>
      <c r="K112" s="434"/>
      <c r="L112" s="434"/>
      <c r="M112" s="434"/>
      <c r="N112" s="434"/>
      <c r="O112" s="434"/>
      <c r="P112" s="434"/>
      <c r="Q112" s="434"/>
      <c r="R112" s="434"/>
      <c r="S112" s="40"/>
      <c r="U112" s="52" t="str">
        <f>B5</f>
        <v>East Midlands Region</v>
      </c>
      <c r="V112" s="420" t="s">
        <v>1021</v>
      </c>
      <c r="W112" s="421"/>
      <c r="X112" s="421"/>
      <c r="Y112" s="421"/>
      <c r="Z112" s="421"/>
      <c r="AA112" s="421"/>
      <c r="AB112" s="421"/>
      <c r="AC112" s="421"/>
      <c r="AD112" s="421"/>
      <c r="AE112" s="421"/>
      <c r="AF112" s="421"/>
      <c r="AG112" s="421"/>
      <c r="AH112" s="421"/>
      <c r="AI112" s="421"/>
      <c r="AJ112" s="421"/>
      <c r="AK112" s="421"/>
    </row>
    <row r="113" spans="2:37" ht="18" x14ac:dyDescent="0.25">
      <c r="B113" s="284" t="s">
        <v>1022</v>
      </c>
      <c r="C113" s="38" t="s">
        <v>879</v>
      </c>
      <c r="D113" s="38" t="s">
        <v>880</v>
      </c>
      <c r="E113" s="38" t="s">
        <v>881</v>
      </c>
      <c r="F113" s="38" t="s">
        <v>882</v>
      </c>
      <c r="G113" s="38" t="s">
        <v>883</v>
      </c>
      <c r="H113" s="38" t="s">
        <v>884</v>
      </c>
      <c r="I113" s="38" t="s">
        <v>885</v>
      </c>
      <c r="J113" s="38" t="s">
        <v>886</v>
      </c>
      <c r="K113" s="38" t="s">
        <v>887</v>
      </c>
      <c r="L113" s="38" t="s">
        <v>888</v>
      </c>
      <c r="M113" s="38" t="s">
        <v>889</v>
      </c>
      <c r="N113" s="38" t="s">
        <v>890</v>
      </c>
      <c r="O113" s="38" t="s">
        <v>891</v>
      </c>
      <c r="P113" s="38" t="s">
        <v>892</v>
      </c>
      <c r="Q113" s="38" t="s">
        <v>893</v>
      </c>
      <c r="R113" s="38" t="s">
        <v>894</v>
      </c>
      <c r="S113" s="40"/>
      <c r="U113" s="95" t="s">
        <v>1023</v>
      </c>
      <c r="V113" s="38" t="s">
        <v>879</v>
      </c>
      <c r="W113" s="38" t="s">
        <v>880</v>
      </c>
      <c r="X113" s="38" t="s">
        <v>881</v>
      </c>
      <c r="Y113" s="38" t="s">
        <v>882</v>
      </c>
      <c r="Z113" s="38" t="s">
        <v>883</v>
      </c>
      <c r="AA113" s="38" t="s">
        <v>884</v>
      </c>
      <c r="AB113" s="38" t="s">
        <v>885</v>
      </c>
      <c r="AC113" s="38" t="s">
        <v>886</v>
      </c>
      <c r="AD113" s="38" t="s">
        <v>887</v>
      </c>
      <c r="AE113" s="38" t="s">
        <v>888</v>
      </c>
      <c r="AF113" s="38" t="s">
        <v>889</v>
      </c>
      <c r="AG113" s="38" t="s">
        <v>890</v>
      </c>
      <c r="AH113" s="38" t="s">
        <v>891</v>
      </c>
      <c r="AI113" s="38" t="s">
        <v>892</v>
      </c>
      <c r="AJ113" s="38" t="s">
        <v>893</v>
      </c>
      <c r="AK113" s="38" t="s">
        <v>894</v>
      </c>
    </row>
    <row r="114" spans="2:37" x14ac:dyDescent="0.25">
      <c r="B114" s="96" t="s">
        <v>1019</v>
      </c>
      <c r="C114" s="94">
        <f>SUMIFS('caseload data'!E:E,'caseload data'!$D:$D,"PO",'caseload data'!$A:$A,'divisional &amp; regional overview'!$B$105,'caseload data'!$B:$B,"licence")</f>
        <v>0</v>
      </c>
      <c r="D114" s="94">
        <f>SUMIFS('caseload data'!F:F,'caseload data'!$D:$D,"PO",'caseload data'!$A:$A,'divisional &amp; regional overview'!$B$105,'caseload data'!$B:$B,"licence")</f>
        <v>0</v>
      </c>
      <c r="E114" s="94">
        <f>SUMIFS('caseload data'!G:G,'caseload data'!$D:$D,"PO",'caseload data'!$A:$A,'divisional &amp; regional overview'!$B$105,'caseload data'!$B:$B,"licence")</f>
        <v>0</v>
      </c>
      <c r="F114" s="94">
        <f>SUMIFS('caseload data'!H:H,'caseload data'!$D:$D,"PO",'caseload data'!$A:$A,'divisional &amp; regional overview'!$B$105,'caseload data'!$B:$B,"licence")</f>
        <v>0</v>
      </c>
      <c r="G114" s="94">
        <f>SUMIFS('caseload data'!I:I,'caseload data'!$D:$D,"PO",'caseload data'!$A:$A,'divisional &amp; regional overview'!$B$105,'caseload data'!$B:$B,"licence")</f>
        <v>0</v>
      </c>
      <c r="H114" s="94">
        <f>SUMIFS('caseload data'!J:J,'caseload data'!$D:$D,"PO",'caseload data'!$A:$A,'divisional &amp; regional overview'!$B$105,'caseload data'!$B:$B,"licence")</f>
        <v>0</v>
      </c>
      <c r="I114" s="94">
        <f>SUMIFS('caseload data'!K:K,'caseload data'!$D:$D,"PO",'caseload data'!$A:$A,'divisional &amp; regional overview'!$B$105,'caseload data'!$B:$B,"licence")</f>
        <v>0</v>
      </c>
      <c r="J114" s="94">
        <f>SUMIFS('caseload data'!L:L,'caseload data'!$D:$D,"PO",'caseload data'!$A:$A,'divisional &amp; regional overview'!$B$105,'caseload data'!$B:$B,"licence")</f>
        <v>0</v>
      </c>
      <c r="K114" s="94">
        <f>SUMIFS('caseload data'!M:M,'caseload data'!$D:$D,"PO",'caseload data'!$A:$A,'divisional &amp; regional overview'!$B$105,'caseload data'!$B:$B,"licence")</f>
        <v>0</v>
      </c>
      <c r="L114" s="94">
        <f>SUMIFS('caseload data'!N:N,'caseload data'!$D:$D,"PO",'caseload data'!$A:$A,'divisional &amp; regional overview'!$B$105,'caseload data'!$B:$B,"licence")</f>
        <v>0</v>
      </c>
      <c r="M114" s="94">
        <f>SUMIFS('caseload data'!O:O,'caseload data'!$D:$D,"PO",'caseload data'!$A:$A,'divisional &amp; regional overview'!$B$105,'caseload data'!$B:$B,"licence")</f>
        <v>0</v>
      </c>
      <c r="N114" s="94">
        <f>SUMIFS('caseload data'!P:P,'caseload data'!$D:$D,"PO",'caseload data'!$A:$A,'divisional &amp; regional overview'!$B$105,'caseload data'!$B:$B,"licence")</f>
        <v>0</v>
      </c>
      <c r="O114" s="94">
        <f>SUMIFS('caseload data'!Q:Q,'caseload data'!$D:$D,"PO",'caseload data'!$A:$A,'divisional &amp; regional overview'!$B$105,'caseload data'!$B:$B,"licence")</f>
        <v>0</v>
      </c>
      <c r="P114" s="94">
        <f>SUMIFS('caseload data'!R:R,'caseload data'!$D:$D,"PO",'caseload data'!$A:$A,'divisional &amp; regional overview'!$B$105,'caseload data'!$B:$B,"licence")</f>
        <v>0</v>
      </c>
      <c r="Q114" s="94">
        <f>SUMIFS('caseload data'!S:S,'caseload data'!$D:$D,"PO",'caseload data'!$A:$A,'divisional &amp; regional overview'!$B$105,'caseload data'!$B:$B,"licence")</f>
        <v>0</v>
      </c>
      <c r="R114" s="94">
        <f>SUMIFS('caseload data'!T:T,'caseload data'!$D:$D,"PO",'caseload data'!$A:$A,'divisional &amp; regional overview'!$B$105,'caseload data'!$B:$B,"licence")</f>
        <v>0</v>
      </c>
      <c r="U114" s="96" t="s">
        <v>1019</v>
      </c>
      <c r="V114" s="167" t="e">
        <f>C$114/SUM(C$114:C$117)</f>
        <v>#DIV/0!</v>
      </c>
      <c r="W114" s="167" t="e">
        <f>D$114/SUM(D$114:D$117)</f>
        <v>#DIV/0!</v>
      </c>
      <c r="X114" s="167" t="e">
        <f t="shared" ref="X114:AK114" si="8">E$114/SUM(E$114:E$117)</f>
        <v>#DIV/0!</v>
      </c>
      <c r="Y114" s="167" t="e">
        <f t="shared" si="8"/>
        <v>#DIV/0!</v>
      </c>
      <c r="Z114" s="167" t="e">
        <f t="shared" si="8"/>
        <v>#DIV/0!</v>
      </c>
      <c r="AA114" s="167" t="e">
        <f t="shared" si="8"/>
        <v>#DIV/0!</v>
      </c>
      <c r="AB114" s="167" t="e">
        <f t="shared" si="8"/>
        <v>#DIV/0!</v>
      </c>
      <c r="AC114" s="167" t="e">
        <f t="shared" si="8"/>
        <v>#DIV/0!</v>
      </c>
      <c r="AD114" s="167" t="e">
        <f t="shared" si="8"/>
        <v>#DIV/0!</v>
      </c>
      <c r="AE114" s="167" t="e">
        <f t="shared" si="8"/>
        <v>#DIV/0!</v>
      </c>
      <c r="AF114" s="167" t="e">
        <f t="shared" si="8"/>
        <v>#DIV/0!</v>
      </c>
      <c r="AG114" s="167" t="e">
        <f t="shared" si="8"/>
        <v>#DIV/0!</v>
      </c>
      <c r="AH114" s="167" t="e">
        <f t="shared" si="8"/>
        <v>#DIV/0!</v>
      </c>
      <c r="AI114" s="167" t="e">
        <f t="shared" si="8"/>
        <v>#DIV/0!</v>
      </c>
      <c r="AJ114" s="167" t="e">
        <f t="shared" si="8"/>
        <v>#DIV/0!</v>
      </c>
      <c r="AK114" s="167" t="e">
        <f t="shared" si="8"/>
        <v>#DIV/0!</v>
      </c>
    </row>
    <row r="115" spans="2:37" x14ac:dyDescent="0.25">
      <c r="B115" s="97" t="s">
        <v>1024</v>
      </c>
      <c r="C115" s="94">
        <f>SUMIFS('caseload data'!E:E,'caseload data'!$D:$D,"PSO",'caseload data'!$A:$A,'divisional &amp; regional overview'!$B$105,'caseload data'!$B:$B,"licence")</f>
        <v>0</v>
      </c>
      <c r="D115" s="94">
        <f>SUMIFS('caseload data'!F:F,'caseload data'!$D:$D,"PSO",'caseload data'!$A:$A,'divisional &amp; regional overview'!$B$105,'caseload data'!$B:$B,"licence")</f>
        <v>0</v>
      </c>
      <c r="E115" s="94">
        <f>SUMIFS('caseload data'!G:G,'caseload data'!$D:$D,"PSO",'caseload data'!$A:$A,'divisional &amp; regional overview'!$B$105,'caseload data'!$B:$B,"licence")</f>
        <v>0</v>
      </c>
      <c r="F115" s="94">
        <f>SUMIFS('caseload data'!H:H,'caseload data'!$D:$D,"PSO",'caseload data'!$A:$A,'divisional &amp; regional overview'!$B$105,'caseload data'!$B:$B,"licence")</f>
        <v>0</v>
      </c>
      <c r="G115" s="94">
        <f>SUMIFS('caseload data'!I:I,'caseload data'!$D:$D,"PSO",'caseload data'!$A:$A,'divisional &amp; regional overview'!$B$105,'caseload data'!$B:$B,"licence")</f>
        <v>0</v>
      </c>
      <c r="H115" s="94">
        <f>SUMIFS('caseload data'!J:J,'caseload data'!$D:$D,"PSO",'caseload data'!$A:$A,'divisional &amp; regional overview'!$B$105,'caseload data'!$B:$B,"licence")</f>
        <v>0</v>
      </c>
      <c r="I115" s="94">
        <f>SUMIFS('caseload data'!K:K,'caseload data'!$D:$D,"PSO",'caseload data'!$A:$A,'divisional &amp; regional overview'!$B$105,'caseload data'!$B:$B,"licence")</f>
        <v>0</v>
      </c>
      <c r="J115" s="94">
        <f>SUMIFS('caseload data'!L:L,'caseload data'!$D:$D,"PSO",'caseload data'!$A:$A,'divisional &amp; regional overview'!$B$105,'caseload data'!$B:$B,"licence")</f>
        <v>0</v>
      </c>
      <c r="K115" s="94">
        <f>SUMIFS('caseload data'!M:M,'caseload data'!$D:$D,"PSO",'caseload data'!$A:$A,'divisional &amp; regional overview'!$B$105,'caseload data'!$B:$B,"licence")</f>
        <v>0</v>
      </c>
      <c r="L115" s="94">
        <f>SUMIFS('caseload data'!N:N,'caseload data'!$D:$D,"PSO",'caseload data'!$A:$A,'divisional &amp; regional overview'!$B$105,'caseload data'!$B:$B,"licence")</f>
        <v>0</v>
      </c>
      <c r="M115" s="94">
        <f>SUMIFS('caseload data'!O:O,'caseload data'!$D:$D,"PSO",'caseload data'!$A:$A,'divisional &amp; regional overview'!$B$105,'caseload data'!$B:$B,"licence")</f>
        <v>0</v>
      </c>
      <c r="N115" s="94">
        <f>SUMIFS('caseload data'!P:P,'caseload data'!$D:$D,"PSO",'caseload data'!$A:$A,'divisional &amp; regional overview'!$B$105,'caseload data'!$B:$B,"licence")</f>
        <v>0</v>
      </c>
      <c r="O115" s="94">
        <f>SUMIFS('caseload data'!Q:Q,'caseload data'!$D:$D,"PSO",'caseload data'!$A:$A,'divisional &amp; regional overview'!$B$105,'caseload data'!$B:$B,"licence")</f>
        <v>0</v>
      </c>
      <c r="P115" s="94">
        <f>SUMIFS('caseload data'!R:R,'caseload data'!$D:$D,"PSO",'caseload data'!$A:$A,'divisional &amp; regional overview'!$B$105,'caseload data'!$B:$B,"licence")</f>
        <v>0</v>
      </c>
      <c r="Q115" s="94">
        <f>SUMIFS('caseload data'!S:S,'caseload data'!$D:$D,"PSO",'caseload data'!$A:$A,'divisional &amp; regional overview'!$B$105,'caseload data'!$B:$B,"licence")</f>
        <v>0</v>
      </c>
      <c r="R115" s="94">
        <f>SUMIFS('caseload data'!T:T,'caseload data'!$D:$D,"PSO",'caseload data'!$A:$A,'divisional &amp; regional overview'!$B$105,'caseload data'!$B:$B,"licence")</f>
        <v>0</v>
      </c>
      <c r="U115" s="97" t="s">
        <v>1024</v>
      </c>
      <c r="V115" s="167" t="e">
        <f>C$115/SUM(C$114:C$117)</f>
        <v>#DIV/0!</v>
      </c>
      <c r="W115" s="167" t="e">
        <f>D$115/SUM(D$114:D$117)</f>
        <v>#DIV/0!</v>
      </c>
      <c r="X115" s="167" t="e">
        <f t="shared" ref="X115:AK115" si="9">E$115/SUM(E$114:E$117)</f>
        <v>#DIV/0!</v>
      </c>
      <c r="Y115" s="167" t="e">
        <f t="shared" si="9"/>
        <v>#DIV/0!</v>
      </c>
      <c r="Z115" s="167" t="e">
        <f t="shared" si="9"/>
        <v>#DIV/0!</v>
      </c>
      <c r="AA115" s="167" t="e">
        <f t="shared" si="9"/>
        <v>#DIV/0!</v>
      </c>
      <c r="AB115" s="167" t="e">
        <f t="shared" si="9"/>
        <v>#DIV/0!</v>
      </c>
      <c r="AC115" s="167" t="e">
        <f t="shared" si="9"/>
        <v>#DIV/0!</v>
      </c>
      <c r="AD115" s="167" t="e">
        <f t="shared" si="9"/>
        <v>#DIV/0!</v>
      </c>
      <c r="AE115" s="167" t="e">
        <f t="shared" si="9"/>
        <v>#DIV/0!</v>
      </c>
      <c r="AF115" s="167" t="e">
        <f t="shared" si="9"/>
        <v>#DIV/0!</v>
      </c>
      <c r="AG115" s="167" t="e">
        <f t="shared" si="9"/>
        <v>#DIV/0!</v>
      </c>
      <c r="AH115" s="167" t="e">
        <f t="shared" si="9"/>
        <v>#DIV/0!</v>
      </c>
      <c r="AI115" s="167" t="e">
        <f t="shared" si="9"/>
        <v>#DIV/0!</v>
      </c>
      <c r="AJ115" s="167" t="e">
        <f t="shared" si="9"/>
        <v>#DIV/0!</v>
      </c>
      <c r="AK115" s="167" t="e">
        <f t="shared" si="9"/>
        <v>#DIV/0!</v>
      </c>
    </row>
    <row r="116" spans="2:37" x14ac:dyDescent="0.25">
      <c r="B116" s="97" t="s">
        <v>1025</v>
      </c>
      <c r="C116" s="94">
        <f>SUMIFS('caseload data'!E:E,'caseload data'!$D:$D,"TPO",'caseload data'!$A:$A,'divisional &amp; regional overview'!$B$105,'caseload data'!$B:$B,"licence")</f>
        <v>0</v>
      </c>
      <c r="D116" s="94">
        <f>SUMIFS('caseload data'!F:F,'caseload data'!$D:$D,"TPO",'caseload data'!$A:$A,'divisional &amp; regional overview'!$B$105,'caseload data'!$B:$B,"licence")</f>
        <v>0</v>
      </c>
      <c r="E116" s="94">
        <f>SUMIFS('caseload data'!G:G,'caseload data'!$D:$D,"TPO",'caseload data'!$A:$A,'divisional &amp; regional overview'!$B$105,'caseload data'!$B:$B,"licence")</f>
        <v>0</v>
      </c>
      <c r="F116" s="94">
        <f>SUMIFS('caseload data'!H:H,'caseload data'!$D:$D,"TPO",'caseload data'!$A:$A,'divisional &amp; regional overview'!$B$105,'caseload data'!$B:$B,"licence")</f>
        <v>0</v>
      </c>
      <c r="G116" s="94">
        <f>SUMIFS('caseload data'!I:I,'caseload data'!$D:$D,"TPO",'caseload data'!$A:$A,'divisional &amp; regional overview'!$B$105,'caseload data'!$B:$B,"licence")</f>
        <v>0</v>
      </c>
      <c r="H116" s="94">
        <f>SUMIFS('caseload data'!J:J,'caseload data'!$D:$D,"TPO",'caseload data'!$A:$A,'divisional &amp; regional overview'!$B$105,'caseload data'!$B:$B,"licence")</f>
        <v>0</v>
      </c>
      <c r="I116" s="94">
        <f>SUMIFS('caseload data'!K:K,'caseload data'!$D:$D,"TPO",'caseload data'!$A:$A,'divisional &amp; regional overview'!$B$105,'caseload data'!$B:$B,"licence")</f>
        <v>0</v>
      </c>
      <c r="J116" s="94">
        <f>SUMIFS('caseload data'!L:L,'caseload data'!$D:$D,"TPO",'caseload data'!$A:$A,'divisional &amp; regional overview'!$B$105,'caseload data'!$B:$B,"licence")</f>
        <v>0</v>
      </c>
      <c r="K116" s="94">
        <f>SUMIFS('caseload data'!M:M,'caseload data'!$D:$D,"TPO",'caseload data'!$A:$A,'divisional &amp; regional overview'!$B$105,'caseload data'!$B:$B,"licence")</f>
        <v>0</v>
      </c>
      <c r="L116" s="94">
        <f>SUMIFS('caseload data'!N:N,'caseload data'!$D:$D,"TPO",'caseload data'!$A:$A,'divisional &amp; regional overview'!$B$105,'caseload data'!$B:$B,"licence")</f>
        <v>0</v>
      </c>
      <c r="M116" s="94">
        <f>SUMIFS('caseload data'!O:O,'caseload data'!$D:$D,"TPO",'caseload data'!$A:$A,'divisional &amp; regional overview'!$B$105,'caseload data'!$B:$B,"licence")</f>
        <v>0</v>
      </c>
      <c r="N116" s="94">
        <f>SUMIFS('caseload data'!P:P,'caseload data'!$D:$D,"TPO",'caseload data'!$A:$A,'divisional &amp; regional overview'!$B$105,'caseload data'!$B:$B,"licence")</f>
        <v>0</v>
      </c>
      <c r="O116" s="94">
        <f>SUMIFS('caseload data'!Q:Q,'caseload data'!$D:$D,"TPO",'caseload data'!$A:$A,'divisional &amp; regional overview'!$B$105,'caseload data'!$B:$B,"licence")</f>
        <v>0</v>
      </c>
      <c r="P116" s="94">
        <f>SUMIFS('caseload data'!R:R,'caseload data'!$D:$D,"TPO",'caseload data'!$A:$A,'divisional &amp; regional overview'!$B$105,'caseload data'!$B:$B,"licence")</f>
        <v>0</v>
      </c>
      <c r="Q116" s="94">
        <f>SUMIFS('caseload data'!S:S,'caseload data'!$D:$D,"TPO",'caseload data'!$A:$A,'divisional &amp; regional overview'!$B$105,'caseload data'!$B:$B,"licence")</f>
        <v>0</v>
      </c>
      <c r="R116" s="94">
        <f>SUMIFS('caseload data'!T:T,'caseload data'!$D:$D,"TPO",'caseload data'!$A:$A,'divisional &amp; regional overview'!$B$105,'caseload data'!$B:$B,"licence")</f>
        <v>0</v>
      </c>
      <c r="U116" s="97" t="s">
        <v>1025</v>
      </c>
      <c r="V116" s="167" t="e">
        <f>C$116/SUM(C$114:C$117)</f>
        <v>#DIV/0!</v>
      </c>
      <c r="W116" s="167" t="e">
        <f>D$116/SUM(D$114:D$117)</f>
        <v>#DIV/0!</v>
      </c>
      <c r="X116" s="167" t="e">
        <f t="shared" ref="X116:AK116" si="10">E$116/SUM(E$114:E$117)</f>
        <v>#DIV/0!</v>
      </c>
      <c r="Y116" s="167" t="e">
        <f t="shared" si="10"/>
        <v>#DIV/0!</v>
      </c>
      <c r="Z116" s="167" t="e">
        <f t="shared" si="10"/>
        <v>#DIV/0!</v>
      </c>
      <c r="AA116" s="167" t="e">
        <f t="shared" si="10"/>
        <v>#DIV/0!</v>
      </c>
      <c r="AB116" s="167" t="e">
        <f t="shared" si="10"/>
        <v>#DIV/0!</v>
      </c>
      <c r="AC116" s="167" t="e">
        <f t="shared" si="10"/>
        <v>#DIV/0!</v>
      </c>
      <c r="AD116" s="167" t="e">
        <f t="shared" si="10"/>
        <v>#DIV/0!</v>
      </c>
      <c r="AE116" s="167" t="e">
        <f t="shared" si="10"/>
        <v>#DIV/0!</v>
      </c>
      <c r="AF116" s="167" t="e">
        <f t="shared" si="10"/>
        <v>#DIV/0!</v>
      </c>
      <c r="AG116" s="167" t="e">
        <f t="shared" si="10"/>
        <v>#DIV/0!</v>
      </c>
      <c r="AH116" s="167" t="e">
        <f t="shared" si="10"/>
        <v>#DIV/0!</v>
      </c>
      <c r="AI116" s="167" t="e">
        <f t="shared" si="10"/>
        <v>#DIV/0!</v>
      </c>
      <c r="AJ116" s="167" t="e">
        <f t="shared" si="10"/>
        <v>#DIV/0!</v>
      </c>
      <c r="AK116" s="167" t="e">
        <f t="shared" si="10"/>
        <v>#DIV/0!</v>
      </c>
    </row>
    <row r="117" spans="2:37" x14ac:dyDescent="0.25">
      <c r="B117" s="98" t="s">
        <v>1026</v>
      </c>
      <c r="C117" s="94">
        <f>SUMIFS('caseload data'!E:E,'caseload data'!$D:$D,"SPO",'caseload data'!$A:$A,'divisional &amp; regional overview'!$B$105,'caseload data'!$B:$B,"licence")</f>
        <v>0</v>
      </c>
      <c r="D117" s="94">
        <f>SUMIFS('caseload data'!F:F,'caseload data'!$D:$D,"SPO",'caseload data'!$A:$A,'divisional &amp; regional overview'!$B$105,'caseload data'!$B:$B,"licence")</f>
        <v>0</v>
      </c>
      <c r="E117" s="94">
        <f>SUMIFS('caseload data'!G:G,'caseload data'!$D:$D,"SPO",'caseload data'!$A:$A,'divisional &amp; regional overview'!$B$105,'caseload data'!$B:$B,"licence")</f>
        <v>0</v>
      </c>
      <c r="F117" s="94">
        <f>SUMIFS('caseload data'!H:H,'caseload data'!$D:$D,"SPO",'caseload data'!$A:$A,'divisional &amp; regional overview'!$B$105,'caseload data'!$B:$B,"licence")</f>
        <v>0</v>
      </c>
      <c r="G117" s="94">
        <f>SUMIFS('caseload data'!I:I,'caseload data'!$D:$D,"SPO",'caseload data'!$A:$A,'divisional &amp; regional overview'!$B$105,'caseload data'!$B:$B,"licence")</f>
        <v>0</v>
      </c>
      <c r="H117" s="94">
        <f>SUMIFS('caseload data'!J:J,'caseload data'!$D:$D,"SPO",'caseload data'!$A:$A,'divisional &amp; regional overview'!$B$105,'caseload data'!$B:$B,"licence")</f>
        <v>0</v>
      </c>
      <c r="I117" s="94">
        <f>SUMIFS('caseload data'!K:K,'caseload data'!$D:$D,"SPO",'caseload data'!$A:$A,'divisional &amp; regional overview'!$B$105,'caseload data'!$B:$B,"licence")</f>
        <v>0</v>
      </c>
      <c r="J117" s="94">
        <f>SUMIFS('caseload data'!L:L,'caseload data'!$D:$D,"SPO",'caseload data'!$A:$A,'divisional &amp; regional overview'!$B$105,'caseload data'!$B:$B,"licence")</f>
        <v>0</v>
      </c>
      <c r="K117" s="94">
        <f>SUMIFS('caseload data'!M:M,'caseload data'!$D:$D,"SPO",'caseload data'!$A:$A,'divisional &amp; regional overview'!$B$105,'caseload data'!$B:$B,"licence")</f>
        <v>0</v>
      </c>
      <c r="L117" s="94">
        <f>SUMIFS('caseload data'!N:N,'caseload data'!$D:$D,"SPO",'caseload data'!$A:$A,'divisional &amp; regional overview'!$B$105,'caseload data'!$B:$B,"licence")</f>
        <v>0</v>
      </c>
      <c r="M117" s="94">
        <f>SUMIFS('caseload data'!O:O,'caseload data'!$D:$D,"SPO",'caseload data'!$A:$A,'divisional &amp; regional overview'!$B$105,'caseload data'!$B:$B,"licence")</f>
        <v>0</v>
      </c>
      <c r="N117" s="94">
        <f>SUMIFS('caseload data'!P:P,'caseload data'!$D:$D,"SPO",'caseload data'!$A:$A,'divisional &amp; regional overview'!$B$105,'caseload data'!$B:$B,"licence")</f>
        <v>0</v>
      </c>
      <c r="O117" s="94">
        <f>SUMIFS('caseload data'!Q:Q,'caseload data'!$D:$D,"SPO",'caseload data'!$A:$A,'divisional &amp; regional overview'!$B$105,'caseload data'!$B:$B,"licence")</f>
        <v>0</v>
      </c>
      <c r="P117" s="94">
        <f>SUMIFS('caseload data'!R:R,'caseload data'!$D:$D,"SPO",'caseload data'!$A:$A,'divisional &amp; regional overview'!$B$105,'caseload data'!$B:$B,"licence")</f>
        <v>0</v>
      </c>
      <c r="Q117" s="94">
        <f>SUMIFS('caseload data'!S:S,'caseload data'!$D:$D,"SPO",'caseload data'!$A:$A,'divisional &amp; regional overview'!$B$105,'caseload data'!$B:$B,"licence")</f>
        <v>0</v>
      </c>
      <c r="R117" s="94">
        <f>SUMIFS('caseload data'!T:T,'caseload data'!$D:$D,"SPO",'caseload data'!$A:$A,'divisional &amp; regional overview'!$B$105,'caseload data'!$B:$B,"licence")</f>
        <v>0</v>
      </c>
      <c r="U117" s="98" t="s">
        <v>1026</v>
      </c>
      <c r="V117" s="167" t="e">
        <f>C$117/SUM(C$114:C$117)</f>
        <v>#DIV/0!</v>
      </c>
      <c r="W117" s="167" t="e">
        <f>D$117/SUM(D$114:D$117)</f>
        <v>#DIV/0!</v>
      </c>
      <c r="X117" s="167" t="e">
        <f t="shared" ref="X117:AK117" si="11">E$117/SUM(E$114:E$117)</f>
        <v>#DIV/0!</v>
      </c>
      <c r="Y117" s="167" t="e">
        <f t="shared" si="11"/>
        <v>#DIV/0!</v>
      </c>
      <c r="Z117" s="167" t="e">
        <f t="shared" si="11"/>
        <v>#DIV/0!</v>
      </c>
      <c r="AA117" s="167" t="e">
        <f t="shared" si="11"/>
        <v>#DIV/0!</v>
      </c>
      <c r="AB117" s="167" t="e">
        <f t="shared" si="11"/>
        <v>#DIV/0!</v>
      </c>
      <c r="AC117" s="167" t="e">
        <f t="shared" si="11"/>
        <v>#DIV/0!</v>
      </c>
      <c r="AD117" s="167" t="e">
        <f t="shared" si="11"/>
        <v>#DIV/0!</v>
      </c>
      <c r="AE117" s="167" t="e">
        <f t="shared" si="11"/>
        <v>#DIV/0!</v>
      </c>
      <c r="AF117" s="167" t="e">
        <f t="shared" si="11"/>
        <v>#DIV/0!</v>
      </c>
      <c r="AG117" s="167" t="e">
        <f t="shared" si="11"/>
        <v>#DIV/0!</v>
      </c>
      <c r="AH117" s="167" t="e">
        <f t="shared" si="11"/>
        <v>#DIV/0!</v>
      </c>
      <c r="AI117" s="167" t="e">
        <f t="shared" si="11"/>
        <v>#DIV/0!</v>
      </c>
      <c r="AJ117" s="167" t="e">
        <f t="shared" si="11"/>
        <v>#DIV/0!</v>
      </c>
      <c r="AK117" s="167" t="e">
        <f t="shared" si="11"/>
        <v>#DIV/0!</v>
      </c>
    </row>
    <row r="118" spans="2:37" x14ac:dyDescent="0.25">
      <c r="B118" s="21"/>
    </row>
    <row r="119" spans="2:37" ht="25.5" customHeight="1" x14ac:dyDescent="0.3">
      <c r="B119" s="52" t="str">
        <f>B5</f>
        <v>East Midlands Region</v>
      </c>
      <c r="C119" s="433" t="s">
        <v>1028</v>
      </c>
      <c r="D119" s="434"/>
      <c r="E119" s="434"/>
      <c r="F119" s="434"/>
      <c r="G119" s="434"/>
      <c r="H119" s="434"/>
      <c r="I119" s="434"/>
      <c r="J119" s="434"/>
      <c r="K119" s="434"/>
      <c r="L119" s="434"/>
      <c r="M119" s="434"/>
      <c r="N119" s="434"/>
      <c r="O119" s="434"/>
      <c r="P119" s="434"/>
      <c r="Q119" s="434"/>
      <c r="R119" s="434"/>
      <c r="U119" s="52" t="str">
        <f>B5</f>
        <v>East Midlands Region</v>
      </c>
      <c r="V119" s="420" t="s">
        <v>1021</v>
      </c>
      <c r="W119" s="421"/>
      <c r="X119" s="421"/>
      <c r="Y119" s="421"/>
      <c r="Z119" s="421"/>
      <c r="AA119" s="421"/>
      <c r="AB119" s="421"/>
      <c r="AC119" s="421"/>
      <c r="AD119" s="421"/>
      <c r="AE119" s="421"/>
      <c r="AF119" s="421"/>
      <c r="AG119" s="421"/>
      <c r="AH119" s="421"/>
      <c r="AI119" s="421"/>
      <c r="AJ119" s="421"/>
      <c r="AK119" s="421"/>
    </row>
    <row r="120" spans="2:37" ht="18" x14ac:dyDescent="0.25">
      <c r="B120" s="284" t="s">
        <v>1022</v>
      </c>
      <c r="C120" s="38" t="s">
        <v>879</v>
      </c>
      <c r="D120" s="38" t="s">
        <v>880</v>
      </c>
      <c r="E120" s="38" t="s">
        <v>881</v>
      </c>
      <c r="F120" s="38" t="s">
        <v>882</v>
      </c>
      <c r="G120" s="38" t="s">
        <v>883</v>
      </c>
      <c r="H120" s="38" t="s">
        <v>884</v>
      </c>
      <c r="I120" s="38" t="s">
        <v>885</v>
      </c>
      <c r="J120" s="38" t="s">
        <v>886</v>
      </c>
      <c r="K120" s="38" t="s">
        <v>887</v>
      </c>
      <c r="L120" s="38" t="s">
        <v>888</v>
      </c>
      <c r="M120" s="38" t="s">
        <v>889</v>
      </c>
      <c r="N120" s="38" t="s">
        <v>890</v>
      </c>
      <c r="O120" s="38" t="s">
        <v>891</v>
      </c>
      <c r="P120" s="38" t="s">
        <v>892</v>
      </c>
      <c r="Q120" s="38" t="s">
        <v>893</v>
      </c>
      <c r="R120" s="38" t="s">
        <v>894</v>
      </c>
      <c r="U120" s="95" t="s">
        <v>1023</v>
      </c>
      <c r="V120" s="38" t="s">
        <v>879</v>
      </c>
      <c r="W120" s="38" t="s">
        <v>880</v>
      </c>
      <c r="X120" s="38" t="s">
        <v>881</v>
      </c>
      <c r="Y120" s="38" t="s">
        <v>882</v>
      </c>
      <c r="Z120" s="38" t="s">
        <v>883</v>
      </c>
      <c r="AA120" s="38" t="s">
        <v>884</v>
      </c>
      <c r="AB120" s="38" t="s">
        <v>885</v>
      </c>
      <c r="AC120" s="38" t="s">
        <v>886</v>
      </c>
      <c r="AD120" s="38" t="s">
        <v>887</v>
      </c>
      <c r="AE120" s="38" t="s">
        <v>888</v>
      </c>
      <c r="AF120" s="38" t="s">
        <v>889</v>
      </c>
      <c r="AG120" s="38" t="s">
        <v>890</v>
      </c>
      <c r="AH120" s="38" t="s">
        <v>891</v>
      </c>
      <c r="AI120" s="38" t="s">
        <v>892</v>
      </c>
      <c r="AJ120" s="38" t="s">
        <v>893</v>
      </c>
      <c r="AK120" s="38" t="s">
        <v>894</v>
      </c>
    </row>
    <row r="121" spans="2:37" x14ac:dyDescent="0.25">
      <c r="B121" s="96" t="s">
        <v>1019</v>
      </c>
      <c r="C121" s="94">
        <f>SUMIFS('caseload data'!E:E,'caseload data'!$D:$D,"PO",'caseload data'!$A:$A,'divisional &amp; regional overview'!$B$105,'caseload data'!$B:$B,"custody")</f>
        <v>0</v>
      </c>
      <c r="D121" s="94">
        <f>SUMIFS('caseload data'!F:F,'caseload data'!$D:$D,"PO",'caseload data'!$A:$A,'divisional &amp; regional overview'!$B$105,'caseload data'!$B:$B,"custody")</f>
        <v>0</v>
      </c>
      <c r="E121" s="94">
        <f>SUMIFS('caseload data'!G:G,'caseload data'!$D:$D,"PO",'caseload data'!$A:$A,'divisional &amp; regional overview'!$B$105,'caseload data'!$B:$B,"custody")</f>
        <v>0</v>
      </c>
      <c r="F121" s="94">
        <f>SUMIFS('caseload data'!H:H,'caseload data'!$D:$D,"PO",'caseload data'!$A:$A,'divisional &amp; regional overview'!$B$105,'caseload data'!$B:$B,"custody")</f>
        <v>0</v>
      </c>
      <c r="G121" s="94">
        <f>SUMIFS('caseload data'!I:I,'caseload data'!$D:$D,"PO",'caseload data'!$A:$A,'divisional &amp; regional overview'!$B$105,'caseload data'!$B:$B,"custody")</f>
        <v>0</v>
      </c>
      <c r="H121" s="94">
        <f>SUMIFS('caseload data'!J:J,'caseload data'!$D:$D,"PO",'caseload data'!$A:$A,'divisional &amp; regional overview'!$B$105,'caseload data'!$B:$B,"custody")</f>
        <v>0</v>
      </c>
      <c r="I121" s="94">
        <f>SUMIFS('caseload data'!K:K,'caseload data'!$D:$D,"PO",'caseload data'!$A:$A,'divisional &amp; regional overview'!$B$105,'caseload data'!$B:$B,"custody")</f>
        <v>0</v>
      </c>
      <c r="J121" s="94">
        <f>SUMIFS('caseload data'!L:L,'caseload data'!$D:$D,"PO",'caseload data'!$A:$A,'divisional &amp; regional overview'!$B$105,'caseload data'!$B:$B,"custody")</f>
        <v>0</v>
      </c>
      <c r="K121" s="94">
        <f>SUMIFS('caseload data'!M:M,'caseload data'!$D:$D,"PO",'caseload data'!$A:$A,'divisional &amp; regional overview'!$B$105,'caseload data'!$B:$B,"custody")</f>
        <v>0</v>
      </c>
      <c r="L121" s="94">
        <f>SUMIFS('caseload data'!N:N,'caseload data'!$D:$D,"PO",'caseload data'!$A:$A,'divisional &amp; regional overview'!$B$105,'caseload data'!$B:$B,"custody")</f>
        <v>0</v>
      </c>
      <c r="M121" s="94">
        <f>SUMIFS('caseload data'!O:O,'caseload data'!$D:$D,"PO",'caseload data'!$A:$A,'divisional &amp; regional overview'!$B$105,'caseload data'!$B:$B,"custody")</f>
        <v>0</v>
      </c>
      <c r="N121" s="94">
        <f>SUMIFS('caseload data'!P:P,'caseload data'!$D:$D,"PO",'caseload data'!$A:$A,'divisional &amp; regional overview'!$B$105,'caseload data'!$B:$B,"custody")</f>
        <v>0</v>
      </c>
      <c r="O121" s="94">
        <f>SUMIFS('caseload data'!Q:Q,'caseload data'!$D:$D,"PO",'caseload data'!$A:$A,'divisional &amp; regional overview'!$B$105,'caseload data'!$B:$B,"custody")</f>
        <v>0</v>
      </c>
      <c r="P121" s="94">
        <f>SUMIFS('caseload data'!R:R,'caseload data'!$D:$D,"PO",'caseload data'!$A:$A,'divisional &amp; regional overview'!$B$105,'caseload data'!$B:$B,"custody")</f>
        <v>0</v>
      </c>
      <c r="Q121" s="94">
        <f>SUMIFS('caseload data'!S:S,'caseload data'!$D:$D,"PO",'caseload data'!$A:$A,'divisional &amp; regional overview'!$B$105,'caseload data'!$B:$B,"custody")</f>
        <v>0</v>
      </c>
      <c r="R121" s="94">
        <f>SUMIFS('caseload data'!T:T,'caseload data'!$D:$D,"PO",'caseload data'!$A:$A,'divisional &amp; regional overview'!$B$105,'caseload data'!$B:$B,"custody")</f>
        <v>0</v>
      </c>
      <c r="U121" s="96" t="s">
        <v>1019</v>
      </c>
      <c r="V121" s="167" t="e">
        <f>C$121/SUM(C$121:C$124)</f>
        <v>#DIV/0!</v>
      </c>
      <c r="W121" s="167" t="e">
        <f>D$121/SUM(D$121:D$124)</f>
        <v>#DIV/0!</v>
      </c>
      <c r="X121" s="167" t="e">
        <f t="shared" ref="X121:AK121" si="12">E$121/SUM(E$121:E$124)</f>
        <v>#DIV/0!</v>
      </c>
      <c r="Y121" s="167" t="e">
        <f t="shared" si="12"/>
        <v>#DIV/0!</v>
      </c>
      <c r="Z121" s="167" t="e">
        <f t="shared" si="12"/>
        <v>#DIV/0!</v>
      </c>
      <c r="AA121" s="167" t="e">
        <f t="shared" si="12"/>
        <v>#DIV/0!</v>
      </c>
      <c r="AB121" s="167" t="e">
        <f t="shared" si="12"/>
        <v>#DIV/0!</v>
      </c>
      <c r="AC121" s="167" t="e">
        <f t="shared" si="12"/>
        <v>#DIV/0!</v>
      </c>
      <c r="AD121" s="167" t="e">
        <f t="shared" si="12"/>
        <v>#DIV/0!</v>
      </c>
      <c r="AE121" s="167" t="e">
        <f t="shared" si="12"/>
        <v>#DIV/0!</v>
      </c>
      <c r="AF121" s="167" t="e">
        <f t="shared" si="12"/>
        <v>#DIV/0!</v>
      </c>
      <c r="AG121" s="167" t="e">
        <f t="shared" si="12"/>
        <v>#DIV/0!</v>
      </c>
      <c r="AH121" s="167" t="e">
        <f t="shared" si="12"/>
        <v>#DIV/0!</v>
      </c>
      <c r="AI121" s="167" t="e">
        <f t="shared" si="12"/>
        <v>#DIV/0!</v>
      </c>
      <c r="AJ121" s="167" t="e">
        <f t="shared" si="12"/>
        <v>#DIV/0!</v>
      </c>
      <c r="AK121" s="167" t="e">
        <f t="shared" si="12"/>
        <v>#DIV/0!</v>
      </c>
    </row>
    <row r="122" spans="2:37" x14ac:dyDescent="0.25">
      <c r="B122" s="97" t="s">
        <v>1024</v>
      </c>
      <c r="C122" s="94">
        <f>SUMIFS('caseload data'!E:E,'caseload data'!$D:$D,"PSO",'caseload data'!$A:$A,'divisional &amp; regional overview'!$B$105,'caseload data'!$B:$B,"custody")</f>
        <v>0</v>
      </c>
      <c r="D122" s="94">
        <f>SUMIFS('caseload data'!F:F,'caseload data'!$D:$D,"PSO",'caseload data'!$A:$A,'divisional &amp; regional overview'!$B$105,'caseload data'!$B:$B,"custody")</f>
        <v>0</v>
      </c>
      <c r="E122" s="94">
        <f>SUMIFS('caseload data'!G:G,'caseload data'!$D:$D,"PSO",'caseload data'!$A:$A,'divisional &amp; regional overview'!$B$105,'caseload data'!$B:$B,"custody")</f>
        <v>0</v>
      </c>
      <c r="F122" s="94">
        <f>SUMIFS('caseload data'!H:H,'caseload data'!$D:$D,"PSO",'caseload data'!$A:$A,'divisional &amp; regional overview'!$B$105,'caseload data'!$B:$B,"custody")</f>
        <v>0</v>
      </c>
      <c r="G122" s="94">
        <f>SUMIFS('caseload data'!I:I,'caseload data'!$D:$D,"PSO",'caseload data'!$A:$A,'divisional &amp; regional overview'!$B$105,'caseload data'!$B:$B,"custody")</f>
        <v>0</v>
      </c>
      <c r="H122" s="94">
        <f>SUMIFS('caseload data'!J:J,'caseload data'!$D:$D,"PSO",'caseload data'!$A:$A,'divisional &amp; regional overview'!$B$105,'caseload data'!$B:$B,"custody")</f>
        <v>0</v>
      </c>
      <c r="I122" s="94">
        <f>SUMIFS('caseload data'!K:K,'caseload data'!$D:$D,"PSO",'caseload data'!$A:$A,'divisional &amp; regional overview'!$B$105,'caseload data'!$B:$B,"custody")</f>
        <v>0</v>
      </c>
      <c r="J122" s="94">
        <f>SUMIFS('caseload data'!L:L,'caseload data'!$D:$D,"PSO",'caseload data'!$A:$A,'divisional &amp; regional overview'!$B$105,'caseload data'!$B:$B,"custody")</f>
        <v>0</v>
      </c>
      <c r="K122" s="94">
        <f>SUMIFS('caseload data'!M:M,'caseload data'!$D:$D,"PSO",'caseload data'!$A:$A,'divisional &amp; regional overview'!$B$105,'caseload data'!$B:$B,"custody")</f>
        <v>0</v>
      </c>
      <c r="L122" s="94">
        <f>SUMIFS('caseload data'!N:N,'caseload data'!$D:$D,"PSO",'caseload data'!$A:$A,'divisional &amp; regional overview'!$B$105,'caseload data'!$B:$B,"custody")</f>
        <v>0</v>
      </c>
      <c r="M122" s="94">
        <f>SUMIFS('caseload data'!O:O,'caseload data'!$D:$D,"PSO",'caseload data'!$A:$A,'divisional &amp; regional overview'!$B$105,'caseload data'!$B:$B,"custody")</f>
        <v>0</v>
      </c>
      <c r="N122" s="94">
        <f>SUMIFS('caseload data'!P:P,'caseload data'!$D:$D,"PSO",'caseload data'!$A:$A,'divisional &amp; regional overview'!$B$105,'caseload data'!$B:$B,"custody")</f>
        <v>0</v>
      </c>
      <c r="O122" s="94">
        <f>SUMIFS('caseload data'!Q:Q,'caseload data'!$D:$D,"PSO",'caseload data'!$A:$A,'divisional &amp; regional overview'!$B$105,'caseload data'!$B:$B,"custody")</f>
        <v>0</v>
      </c>
      <c r="P122" s="94">
        <f>SUMIFS('caseload data'!R:R,'caseload data'!$D:$D,"PSO",'caseload data'!$A:$A,'divisional &amp; regional overview'!$B$105,'caseload data'!$B:$B,"custody")</f>
        <v>0</v>
      </c>
      <c r="Q122" s="94">
        <f>SUMIFS('caseload data'!S:S,'caseload data'!$D:$D,"PSO",'caseload data'!$A:$A,'divisional &amp; regional overview'!$B$105,'caseload data'!$B:$B,"custody")</f>
        <v>0</v>
      </c>
      <c r="R122" s="94">
        <f>SUMIFS('caseload data'!T:T,'caseload data'!$D:$D,"PSO",'caseload data'!$A:$A,'divisional &amp; regional overview'!$B$105,'caseload data'!$B:$B,"custody")</f>
        <v>0</v>
      </c>
      <c r="U122" s="97" t="s">
        <v>1024</v>
      </c>
      <c r="V122" s="167" t="e">
        <f>C$122/SUM(C$121:C$124)</f>
        <v>#DIV/0!</v>
      </c>
      <c r="W122" s="167" t="e">
        <f>D$122/SUM(D$121:D$124)</f>
        <v>#DIV/0!</v>
      </c>
      <c r="X122" s="167" t="e">
        <f t="shared" ref="X122:AK122" si="13">E$122/SUM(E$121:E$124)</f>
        <v>#DIV/0!</v>
      </c>
      <c r="Y122" s="167" t="e">
        <f t="shared" si="13"/>
        <v>#DIV/0!</v>
      </c>
      <c r="Z122" s="167" t="e">
        <f t="shared" si="13"/>
        <v>#DIV/0!</v>
      </c>
      <c r="AA122" s="167" t="e">
        <f t="shared" si="13"/>
        <v>#DIV/0!</v>
      </c>
      <c r="AB122" s="167" t="e">
        <f t="shared" si="13"/>
        <v>#DIV/0!</v>
      </c>
      <c r="AC122" s="167" t="e">
        <f t="shared" si="13"/>
        <v>#DIV/0!</v>
      </c>
      <c r="AD122" s="167" t="e">
        <f t="shared" si="13"/>
        <v>#DIV/0!</v>
      </c>
      <c r="AE122" s="167" t="e">
        <f t="shared" si="13"/>
        <v>#DIV/0!</v>
      </c>
      <c r="AF122" s="167" t="e">
        <f t="shared" si="13"/>
        <v>#DIV/0!</v>
      </c>
      <c r="AG122" s="167" t="e">
        <f t="shared" si="13"/>
        <v>#DIV/0!</v>
      </c>
      <c r="AH122" s="167" t="e">
        <f t="shared" si="13"/>
        <v>#DIV/0!</v>
      </c>
      <c r="AI122" s="167" t="e">
        <f t="shared" si="13"/>
        <v>#DIV/0!</v>
      </c>
      <c r="AJ122" s="167" t="e">
        <f t="shared" si="13"/>
        <v>#DIV/0!</v>
      </c>
      <c r="AK122" s="167" t="e">
        <f t="shared" si="13"/>
        <v>#DIV/0!</v>
      </c>
    </row>
    <row r="123" spans="2:37" x14ac:dyDescent="0.25">
      <c r="B123" s="97" t="s">
        <v>1025</v>
      </c>
      <c r="C123" s="94">
        <f>SUMIFS('caseload data'!E:E,'caseload data'!$D:$D,"TPO",'caseload data'!$A:$A,'divisional &amp; regional overview'!$B$105,'caseload data'!$B:$B,"custody")</f>
        <v>0</v>
      </c>
      <c r="D123" s="94">
        <f>SUMIFS('caseload data'!F:F,'caseload data'!$D:$D,"TPO",'caseload data'!$A:$A,'divisional &amp; regional overview'!$B$105,'caseload data'!$B:$B,"custody")</f>
        <v>0</v>
      </c>
      <c r="E123" s="94">
        <f>SUMIFS('caseload data'!G:G,'caseload data'!$D:$D,"TPO",'caseload data'!$A:$A,'divisional &amp; regional overview'!$B$105,'caseload data'!$B:$B,"custody")</f>
        <v>0</v>
      </c>
      <c r="F123" s="94">
        <f>SUMIFS('caseload data'!H:H,'caseload data'!$D:$D,"TPO",'caseload data'!$A:$A,'divisional &amp; regional overview'!$B$105,'caseload data'!$B:$B,"custody")</f>
        <v>0</v>
      </c>
      <c r="G123" s="94">
        <f>SUMIFS('caseload data'!I:I,'caseload data'!$D:$D,"TPO",'caseload data'!$A:$A,'divisional &amp; regional overview'!$B$105,'caseload data'!$B:$B,"custody")</f>
        <v>0</v>
      </c>
      <c r="H123" s="94">
        <f>SUMIFS('caseload data'!J:J,'caseload data'!$D:$D,"TPO",'caseload data'!$A:$A,'divisional &amp; regional overview'!$B$105,'caseload data'!$B:$B,"custody")</f>
        <v>0</v>
      </c>
      <c r="I123" s="94">
        <f>SUMIFS('caseload data'!K:K,'caseload data'!$D:$D,"TPO",'caseload data'!$A:$A,'divisional &amp; regional overview'!$B$105,'caseload data'!$B:$B,"custody")</f>
        <v>0</v>
      </c>
      <c r="J123" s="94">
        <f>SUMIFS('caseload data'!L:L,'caseload data'!$D:$D,"TPO",'caseload data'!$A:$A,'divisional &amp; regional overview'!$B$105,'caseload data'!$B:$B,"custody")</f>
        <v>0</v>
      </c>
      <c r="K123" s="94">
        <f>SUMIFS('caseload data'!M:M,'caseload data'!$D:$D,"TPO",'caseload data'!$A:$A,'divisional &amp; regional overview'!$B$105,'caseload data'!$B:$B,"custody")</f>
        <v>0</v>
      </c>
      <c r="L123" s="94">
        <f>SUMIFS('caseload data'!N:N,'caseload data'!$D:$D,"TPO",'caseload data'!$A:$A,'divisional &amp; regional overview'!$B$105,'caseload data'!$B:$B,"custody")</f>
        <v>0</v>
      </c>
      <c r="M123" s="94">
        <f>SUMIFS('caseload data'!O:O,'caseload data'!$D:$D,"TPO",'caseload data'!$A:$A,'divisional &amp; regional overview'!$B$105,'caseload data'!$B:$B,"custody")</f>
        <v>0</v>
      </c>
      <c r="N123" s="94">
        <f>SUMIFS('caseload data'!P:P,'caseload data'!$D:$D,"TPO",'caseload data'!$A:$A,'divisional &amp; regional overview'!$B$105,'caseload data'!$B:$B,"custody")</f>
        <v>0</v>
      </c>
      <c r="O123" s="94">
        <f>SUMIFS('caseload data'!Q:Q,'caseload data'!$D:$D,"TPO",'caseload data'!$A:$A,'divisional &amp; regional overview'!$B$105,'caseload data'!$B:$B,"custody")</f>
        <v>0</v>
      </c>
      <c r="P123" s="94">
        <f>SUMIFS('caseload data'!R:R,'caseload data'!$D:$D,"TPO",'caseload data'!$A:$A,'divisional &amp; regional overview'!$B$105,'caseload data'!$B:$B,"custody")</f>
        <v>0</v>
      </c>
      <c r="Q123" s="94">
        <f>SUMIFS('caseload data'!S:S,'caseload data'!$D:$D,"TPO",'caseload data'!$A:$A,'divisional &amp; regional overview'!$B$105,'caseload data'!$B:$B,"custody")</f>
        <v>0</v>
      </c>
      <c r="R123" s="94">
        <f>SUMIFS('caseload data'!T:T,'caseload data'!$D:$D,"TPO",'caseload data'!$A:$A,'divisional &amp; regional overview'!$B$105,'caseload data'!$B:$B,"custody")</f>
        <v>0</v>
      </c>
      <c r="U123" s="97" t="s">
        <v>1025</v>
      </c>
      <c r="V123" s="167" t="e">
        <f>C$123/SUM(C$121:C$124)</f>
        <v>#DIV/0!</v>
      </c>
      <c r="W123" s="167" t="e">
        <f>D$123/SUM(D$121:D$124)</f>
        <v>#DIV/0!</v>
      </c>
      <c r="X123" s="167" t="e">
        <f t="shared" ref="X123:AK123" si="14">E$123/SUM(E$121:E$124)</f>
        <v>#DIV/0!</v>
      </c>
      <c r="Y123" s="167" t="e">
        <f t="shared" si="14"/>
        <v>#DIV/0!</v>
      </c>
      <c r="Z123" s="167" t="e">
        <f t="shared" si="14"/>
        <v>#DIV/0!</v>
      </c>
      <c r="AA123" s="167" t="e">
        <f t="shared" si="14"/>
        <v>#DIV/0!</v>
      </c>
      <c r="AB123" s="167" t="e">
        <f t="shared" si="14"/>
        <v>#DIV/0!</v>
      </c>
      <c r="AC123" s="167" t="e">
        <f t="shared" si="14"/>
        <v>#DIV/0!</v>
      </c>
      <c r="AD123" s="167" t="e">
        <f t="shared" si="14"/>
        <v>#DIV/0!</v>
      </c>
      <c r="AE123" s="167" t="e">
        <f t="shared" si="14"/>
        <v>#DIV/0!</v>
      </c>
      <c r="AF123" s="167" t="e">
        <f t="shared" si="14"/>
        <v>#DIV/0!</v>
      </c>
      <c r="AG123" s="167" t="e">
        <f t="shared" si="14"/>
        <v>#DIV/0!</v>
      </c>
      <c r="AH123" s="167" t="e">
        <f t="shared" si="14"/>
        <v>#DIV/0!</v>
      </c>
      <c r="AI123" s="167" t="e">
        <f t="shared" si="14"/>
        <v>#DIV/0!</v>
      </c>
      <c r="AJ123" s="167" t="e">
        <f t="shared" si="14"/>
        <v>#DIV/0!</v>
      </c>
      <c r="AK123" s="167" t="e">
        <f t="shared" si="14"/>
        <v>#DIV/0!</v>
      </c>
    </row>
    <row r="124" spans="2:37" x14ac:dyDescent="0.25">
      <c r="B124" s="98" t="s">
        <v>1026</v>
      </c>
      <c r="C124" s="94">
        <f>SUMIFS('caseload data'!E:E,'caseload data'!$D:$D,"SPO",'caseload data'!$A:$A,'divisional &amp; regional overview'!$B$105,'caseload data'!$B:$B,"custody")</f>
        <v>0</v>
      </c>
      <c r="D124" s="94">
        <f>SUMIFS('caseload data'!F:F,'caseload data'!$D:$D,"SPO",'caseload data'!$A:$A,'divisional &amp; regional overview'!$B$105,'caseload data'!$B:$B,"custody")</f>
        <v>0</v>
      </c>
      <c r="E124" s="94">
        <f>SUMIFS('caseload data'!G:G,'caseload data'!$D:$D,"SPO",'caseload data'!$A:$A,'divisional &amp; regional overview'!$B$105,'caseload data'!$B:$B,"custody")</f>
        <v>0</v>
      </c>
      <c r="F124" s="94">
        <f>SUMIFS('caseload data'!H:H,'caseload data'!$D:$D,"SPO",'caseload data'!$A:$A,'divisional &amp; regional overview'!$B$105,'caseload data'!$B:$B,"custody")</f>
        <v>0</v>
      </c>
      <c r="G124" s="94">
        <f>SUMIFS('caseload data'!I:I,'caseload data'!$D:$D,"SPO",'caseload data'!$A:$A,'divisional &amp; regional overview'!$B$105,'caseload data'!$B:$B,"custody")</f>
        <v>0</v>
      </c>
      <c r="H124" s="94">
        <f>SUMIFS('caseload data'!J:J,'caseload data'!$D:$D,"SPO",'caseload data'!$A:$A,'divisional &amp; regional overview'!$B$105,'caseload data'!$B:$B,"custody")</f>
        <v>0</v>
      </c>
      <c r="I124" s="94">
        <f>SUMIFS('caseload data'!K:K,'caseload data'!$D:$D,"SPO",'caseload data'!$A:$A,'divisional &amp; regional overview'!$B$105,'caseload data'!$B:$B,"custody")</f>
        <v>0</v>
      </c>
      <c r="J124" s="94">
        <f>SUMIFS('caseload data'!L:L,'caseload data'!$D:$D,"SPO",'caseload data'!$A:$A,'divisional &amp; regional overview'!$B$105,'caseload data'!$B:$B,"custody")</f>
        <v>0</v>
      </c>
      <c r="K124" s="94">
        <f>SUMIFS('caseload data'!M:M,'caseload data'!$D:$D,"SPO",'caseload data'!$A:$A,'divisional &amp; regional overview'!$B$105,'caseload data'!$B:$B,"custody")</f>
        <v>0</v>
      </c>
      <c r="L124" s="94">
        <f>SUMIFS('caseload data'!N:N,'caseload data'!$D:$D,"SPO",'caseload data'!$A:$A,'divisional &amp; regional overview'!$B$105,'caseload data'!$B:$B,"custody")</f>
        <v>0</v>
      </c>
      <c r="M124" s="94">
        <f>SUMIFS('caseload data'!O:O,'caseload data'!$D:$D,"SPO",'caseload data'!$A:$A,'divisional &amp; regional overview'!$B$105,'caseload data'!$B:$B,"custody")</f>
        <v>0</v>
      </c>
      <c r="N124" s="94">
        <f>SUMIFS('caseload data'!P:P,'caseload data'!$D:$D,"SPO",'caseload data'!$A:$A,'divisional &amp; regional overview'!$B$105,'caseload data'!$B:$B,"custody")</f>
        <v>0</v>
      </c>
      <c r="O124" s="94">
        <f>SUMIFS('caseload data'!Q:Q,'caseload data'!$D:$D,"SPO",'caseload data'!$A:$A,'divisional &amp; regional overview'!$B$105,'caseload data'!$B:$B,"custody")</f>
        <v>0</v>
      </c>
      <c r="P124" s="94">
        <f>SUMIFS('caseload data'!R:R,'caseload data'!$D:$D,"SPO",'caseload data'!$A:$A,'divisional &amp; regional overview'!$B$105,'caseload data'!$B:$B,"custody")</f>
        <v>0</v>
      </c>
      <c r="Q124" s="94">
        <f>SUMIFS('caseload data'!S:S,'caseload data'!$D:$D,"SPO",'caseload data'!$A:$A,'divisional &amp; regional overview'!$B$105,'caseload data'!$B:$B,"custody")</f>
        <v>0</v>
      </c>
      <c r="R124" s="94">
        <f>SUMIFS('caseload data'!T:T,'caseload data'!$D:$D,"SPO",'caseload data'!$A:$A,'divisional &amp; regional overview'!$B$105,'caseload data'!$B:$B,"custody")</f>
        <v>0</v>
      </c>
      <c r="U124" s="98" t="s">
        <v>1026</v>
      </c>
      <c r="V124" s="167" t="e">
        <f>C$124/SUM(C$121:C$124)</f>
        <v>#DIV/0!</v>
      </c>
      <c r="W124" s="167" t="e">
        <f>D$124/SUM(D$121:D$124)</f>
        <v>#DIV/0!</v>
      </c>
      <c r="X124" s="167" t="e">
        <f t="shared" ref="X124:AK124" si="15">E$124/SUM(E$121:E$124)</f>
        <v>#DIV/0!</v>
      </c>
      <c r="Y124" s="167" t="e">
        <f t="shared" si="15"/>
        <v>#DIV/0!</v>
      </c>
      <c r="Z124" s="167" t="e">
        <f t="shared" si="15"/>
        <v>#DIV/0!</v>
      </c>
      <c r="AA124" s="167" t="e">
        <f t="shared" si="15"/>
        <v>#DIV/0!</v>
      </c>
      <c r="AB124" s="167" t="e">
        <f t="shared" si="15"/>
        <v>#DIV/0!</v>
      </c>
      <c r="AC124" s="167" t="e">
        <f t="shared" si="15"/>
        <v>#DIV/0!</v>
      </c>
      <c r="AD124" s="167" t="e">
        <f t="shared" si="15"/>
        <v>#DIV/0!</v>
      </c>
      <c r="AE124" s="167" t="e">
        <f t="shared" si="15"/>
        <v>#DIV/0!</v>
      </c>
      <c r="AF124" s="167" t="e">
        <f t="shared" si="15"/>
        <v>#DIV/0!</v>
      </c>
      <c r="AG124" s="167" t="e">
        <f t="shared" si="15"/>
        <v>#DIV/0!</v>
      </c>
      <c r="AH124" s="167" t="e">
        <f t="shared" si="15"/>
        <v>#DIV/0!</v>
      </c>
      <c r="AI124" s="167" t="e">
        <f t="shared" si="15"/>
        <v>#DIV/0!</v>
      </c>
      <c r="AJ124" s="167" t="e">
        <f t="shared" si="15"/>
        <v>#DIV/0!</v>
      </c>
      <c r="AK124" s="167" t="e">
        <f t="shared" si="15"/>
        <v>#DIV/0!</v>
      </c>
    </row>
    <row r="125" spans="2:37" x14ac:dyDescent="0.25">
      <c r="B125" s="21"/>
    </row>
    <row r="126" spans="2:37" ht="21.75" customHeight="1" x14ac:dyDescent="0.3">
      <c r="B126" s="52" t="str">
        <f>B5</f>
        <v>East Midlands Region</v>
      </c>
      <c r="C126" s="433" t="s">
        <v>1029</v>
      </c>
      <c r="D126" s="434"/>
      <c r="E126" s="434"/>
      <c r="F126" s="434"/>
      <c r="G126" s="434"/>
      <c r="H126" s="434"/>
      <c r="I126" s="434"/>
      <c r="J126" s="434"/>
      <c r="K126" s="434"/>
      <c r="L126" s="434"/>
      <c r="M126" s="434"/>
      <c r="N126" s="434"/>
      <c r="O126" s="434"/>
      <c r="P126" s="434"/>
      <c r="Q126" s="434"/>
      <c r="R126" s="434"/>
      <c r="U126" s="52" t="str">
        <f>B5</f>
        <v>East Midlands Region</v>
      </c>
      <c r="V126" s="420" t="s">
        <v>1021</v>
      </c>
      <c r="W126" s="421"/>
      <c r="X126" s="421"/>
      <c r="Y126" s="421"/>
      <c r="Z126" s="421"/>
      <c r="AA126" s="421"/>
      <c r="AB126" s="421"/>
      <c r="AC126" s="421"/>
      <c r="AD126" s="421"/>
      <c r="AE126" s="421"/>
      <c r="AF126" s="421"/>
      <c r="AG126" s="421"/>
      <c r="AH126" s="421"/>
      <c r="AI126" s="421"/>
      <c r="AJ126" s="421"/>
      <c r="AK126" s="421"/>
    </row>
    <row r="127" spans="2:37" ht="18" x14ac:dyDescent="0.25">
      <c r="B127" s="284" t="s">
        <v>1022</v>
      </c>
      <c r="C127" s="38" t="s">
        <v>879</v>
      </c>
      <c r="D127" s="38" t="s">
        <v>880</v>
      </c>
      <c r="E127" s="38" t="s">
        <v>881</v>
      </c>
      <c r="F127" s="38" t="s">
        <v>882</v>
      </c>
      <c r="G127" s="38" t="s">
        <v>883</v>
      </c>
      <c r="H127" s="38" t="s">
        <v>884</v>
      </c>
      <c r="I127" s="38" t="s">
        <v>885</v>
      </c>
      <c r="J127" s="38" t="s">
        <v>886</v>
      </c>
      <c r="K127" s="38" t="s">
        <v>887</v>
      </c>
      <c r="L127" s="38" t="s">
        <v>888</v>
      </c>
      <c r="M127" s="38" t="s">
        <v>889</v>
      </c>
      <c r="N127" s="38" t="s">
        <v>890</v>
      </c>
      <c r="O127" s="38" t="s">
        <v>891</v>
      </c>
      <c r="P127" s="38" t="s">
        <v>892</v>
      </c>
      <c r="Q127" s="38" t="s">
        <v>893</v>
      </c>
      <c r="R127" s="38" t="s">
        <v>894</v>
      </c>
      <c r="U127" s="95" t="s">
        <v>1023</v>
      </c>
      <c r="V127" s="38" t="s">
        <v>879</v>
      </c>
      <c r="W127" s="38" t="s">
        <v>880</v>
      </c>
      <c r="X127" s="38" t="s">
        <v>881</v>
      </c>
      <c r="Y127" s="38" t="s">
        <v>882</v>
      </c>
      <c r="Z127" s="38" t="s">
        <v>883</v>
      </c>
      <c r="AA127" s="38" t="s">
        <v>884</v>
      </c>
      <c r="AB127" s="38" t="s">
        <v>885</v>
      </c>
      <c r="AC127" s="38" t="s">
        <v>886</v>
      </c>
      <c r="AD127" s="38" t="s">
        <v>887</v>
      </c>
      <c r="AE127" s="38" t="s">
        <v>888</v>
      </c>
      <c r="AF127" s="38" t="s">
        <v>889</v>
      </c>
      <c r="AG127" s="38" t="s">
        <v>890</v>
      </c>
      <c r="AH127" s="38" t="s">
        <v>891</v>
      </c>
      <c r="AI127" s="38" t="s">
        <v>892</v>
      </c>
      <c r="AJ127" s="38" t="s">
        <v>893</v>
      </c>
      <c r="AK127" s="38" t="s">
        <v>894</v>
      </c>
    </row>
    <row r="128" spans="2:37" x14ac:dyDescent="0.25">
      <c r="B128" s="96" t="s">
        <v>1019</v>
      </c>
      <c r="C128" s="94">
        <f>SUMIFS('caseload data'!E:E,'caseload data'!$D:$D,"PO",'caseload data'!$A:$A,'divisional &amp; regional overview'!$B$112)</f>
        <v>0</v>
      </c>
      <c r="D128" s="94">
        <f>SUMIFS('caseload data'!F:F,'caseload data'!$D:$D,"PO",'caseload data'!$A:$A,'divisional &amp; regional overview'!$B$112)</f>
        <v>0</v>
      </c>
      <c r="E128" s="94">
        <f>SUMIFS('caseload data'!G:G,'caseload data'!$D:$D,"PO",'caseload data'!$A:$A,'divisional &amp; regional overview'!$B$112)</f>
        <v>0</v>
      </c>
      <c r="F128" s="94">
        <f>SUMIFS('caseload data'!H:H,'caseload data'!$D:$D,"PO",'caseload data'!$A:$A,'divisional &amp; regional overview'!$B$112)</f>
        <v>0</v>
      </c>
      <c r="G128" s="94">
        <f>SUMIFS('caseload data'!I:I,'caseload data'!$D:$D,"PO",'caseload data'!$A:$A,'divisional &amp; regional overview'!$B$112)</f>
        <v>0</v>
      </c>
      <c r="H128" s="94">
        <f>SUMIFS('caseload data'!J:J,'caseload data'!$D:$D,"PO",'caseload data'!$A:$A,'divisional &amp; regional overview'!$B$112)</f>
        <v>0</v>
      </c>
      <c r="I128" s="94">
        <f>SUMIFS('caseload data'!K:K,'caseload data'!$D:$D,"PO",'caseload data'!$A:$A,'divisional &amp; regional overview'!$B$112)</f>
        <v>0</v>
      </c>
      <c r="J128" s="94">
        <f>SUMIFS('caseload data'!L:L,'caseload data'!$D:$D,"PO",'caseload data'!$A:$A,'divisional &amp; regional overview'!$B$112)</f>
        <v>0</v>
      </c>
      <c r="K128" s="94">
        <f>SUMIFS('caseload data'!M:M,'caseload data'!$D:$D,"PO",'caseload data'!$A:$A,'divisional &amp; regional overview'!$B$112)</f>
        <v>0</v>
      </c>
      <c r="L128" s="94">
        <f>SUMIFS('caseload data'!N:N,'caseload data'!$D:$D,"PO",'caseload data'!$A:$A,'divisional &amp; regional overview'!$B$112)</f>
        <v>0</v>
      </c>
      <c r="M128" s="94">
        <f>SUMIFS('caseload data'!O:O,'caseload data'!$D:$D,"PO",'caseload data'!$A:$A,'divisional &amp; regional overview'!$B$112)</f>
        <v>0</v>
      </c>
      <c r="N128" s="94">
        <f>SUMIFS('caseload data'!P:P,'caseload data'!$D:$D,"PO",'caseload data'!$A:$A,'divisional &amp; regional overview'!$B$112)</f>
        <v>0</v>
      </c>
      <c r="O128" s="94">
        <f>SUMIFS('caseload data'!Q:Q,'caseload data'!$D:$D,"PO",'caseload data'!$A:$A,'divisional &amp; regional overview'!$B$112)</f>
        <v>0</v>
      </c>
      <c r="P128" s="94">
        <f>SUMIFS('caseload data'!R:R,'caseload data'!$D:$D,"PO",'caseload data'!$A:$A,'divisional &amp; regional overview'!$B$112)</f>
        <v>0</v>
      </c>
      <c r="Q128" s="94">
        <f>SUMIFS('caseload data'!S:S,'caseload data'!$D:$D,"PO",'caseload data'!$A:$A,'divisional &amp; regional overview'!$B$112)</f>
        <v>0</v>
      </c>
      <c r="R128" s="94">
        <f>SUMIFS('caseload data'!T:T,'caseload data'!$D:$D,"PO",'caseload data'!$A:$A,'divisional &amp; regional overview'!$B$112)</f>
        <v>0</v>
      </c>
      <c r="U128" s="96" t="s">
        <v>1019</v>
      </c>
      <c r="V128" s="167" t="e">
        <f>C$128/SUM(C$128:C$131)</f>
        <v>#DIV/0!</v>
      </c>
      <c r="W128" s="167" t="e">
        <f>D$128/SUM(D$128:D$131)</f>
        <v>#DIV/0!</v>
      </c>
      <c r="X128" s="167" t="e">
        <f t="shared" ref="X128:AK128" si="16">E$128/SUM(E$128:E$131)</f>
        <v>#DIV/0!</v>
      </c>
      <c r="Y128" s="167" t="e">
        <f t="shared" si="16"/>
        <v>#DIV/0!</v>
      </c>
      <c r="Z128" s="167" t="e">
        <f t="shared" si="16"/>
        <v>#DIV/0!</v>
      </c>
      <c r="AA128" s="167" t="e">
        <f t="shared" si="16"/>
        <v>#DIV/0!</v>
      </c>
      <c r="AB128" s="167" t="e">
        <f t="shared" si="16"/>
        <v>#DIV/0!</v>
      </c>
      <c r="AC128" s="167" t="e">
        <f t="shared" si="16"/>
        <v>#DIV/0!</v>
      </c>
      <c r="AD128" s="167" t="e">
        <f t="shared" si="16"/>
        <v>#DIV/0!</v>
      </c>
      <c r="AE128" s="167" t="e">
        <f t="shared" si="16"/>
        <v>#DIV/0!</v>
      </c>
      <c r="AF128" s="167" t="e">
        <f t="shared" si="16"/>
        <v>#DIV/0!</v>
      </c>
      <c r="AG128" s="167" t="e">
        <f t="shared" si="16"/>
        <v>#DIV/0!</v>
      </c>
      <c r="AH128" s="167" t="e">
        <f t="shared" si="16"/>
        <v>#DIV/0!</v>
      </c>
      <c r="AI128" s="167" t="e">
        <f t="shared" si="16"/>
        <v>#DIV/0!</v>
      </c>
      <c r="AJ128" s="167" t="e">
        <f t="shared" si="16"/>
        <v>#DIV/0!</v>
      </c>
      <c r="AK128" s="167" t="e">
        <f t="shared" si="16"/>
        <v>#DIV/0!</v>
      </c>
    </row>
    <row r="129" spans="2:37" x14ac:dyDescent="0.25">
      <c r="B129" s="97" t="s">
        <v>1024</v>
      </c>
      <c r="C129" s="94">
        <f>SUMIFS('caseload data'!E:E,'caseload data'!$D:$D,"PSO",'caseload data'!$A:$A,'divisional &amp; regional overview'!$B$112)</f>
        <v>0</v>
      </c>
      <c r="D129" s="94">
        <f>SUMIFS('caseload data'!F:F,'caseload data'!$D:$D,"PSO",'caseload data'!$A:$A,'divisional &amp; regional overview'!$B$112)</f>
        <v>0</v>
      </c>
      <c r="E129" s="94">
        <f>SUMIFS('caseload data'!G:G,'caseload data'!$D:$D,"PSO",'caseload data'!$A:$A,'divisional &amp; regional overview'!$B$112)</f>
        <v>0</v>
      </c>
      <c r="F129" s="94">
        <f>SUMIFS('caseload data'!H:H,'caseload data'!$D:$D,"PSO",'caseload data'!$A:$A,'divisional &amp; regional overview'!$B$112)</f>
        <v>0</v>
      </c>
      <c r="G129" s="94">
        <f>SUMIFS('caseload data'!I:I,'caseload data'!$D:$D,"PSO",'caseload data'!$A:$A,'divisional &amp; regional overview'!$B$112)</f>
        <v>0</v>
      </c>
      <c r="H129" s="94">
        <f>SUMIFS('caseload data'!J:J,'caseload data'!$D:$D,"PSO",'caseload data'!$A:$A,'divisional &amp; regional overview'!$B$112)</f>
        <v>0</v>
      </c>
      <c r="I129" s="94">
        <f>SUMIFS('caseload data'!K:K,'caseload data'!$D:$D,"PSO",'caseload data'!$A:$A,'divisional &amp; regional overview'!$B$112)</f>
        <v>0</v>
      </c>
      <c r="J129" s="94">
        <f>SUMIFS('caseload data'!L:L,'caseload data'!$D:$D,"PSO",'caseload data'!$A:$A,'divisional &amp; regional overview'!$B$112)</f>
        <v>0</v>
      </c>
      <c r="K129" s="94">
        <f>SUMIFS('caseload data'!M:M,'caseload data'!$D:$D,"PSO",'caseload data'!$A:$A,'divisional &amp; regional overview'!$B$112)</f>
        <v>0</v>
      </c>
      <c r="L129" s="94">
        <f>SUMIFS('caseload data'!N:N,'caseload data'!$D:$D,"PSO",'caseload data'!$A:$A,'divisional &amp; regional overview'!$B$112)</f>
        <v>0</v>
      </c>
      <c r="M129" s="94">
        <f>SUMIFS('caseload data'!O:O,'caseload data'!$D:$D,"PSO",'caseload data'!$A:$A,'divisional &amp; regional overview'!$B$112)</f>
        <v>0</v>
      </c>
      <c r="N129" s="94">
        <f>SUMIFS('caseload data'!P:P,'caseload data'!$D:$D,"PSO",'caseload data'!$A:$A,'divisional &amp; regional overview'!$B$112)</f>
        <v>0</v>
      </c>
      <c r="O129" s="94">
        <f>SUMIFS('caseload data'!Q:Q,'caseload data'!$D:$D,"PSO",'caseload data'!$A:$A,'divisional &amp; regional overview'!$B$112)</f>
        <v>0</v>
      </c>
      <c r="P129" s="94">
        <f>SUMIFS('caseload data'!R:R,'caseload data'!$D:$D,"PSO",'caseload data'!$A:$A,'divisional &amp; regional overview'!$B$112)</f>
        <v>0</v>
      </c>
      <c r="Q129" s="94">
        <f>SUMIFS('caseload data'!S:S,'caseload data'!$D:$D,"PSO",'caseload data'!$A:$A,'divisional &amp; regional overview'!$B$112)</f>
        <v>0</v>
      </c>
      <c r="R129" s="94">
        <f>SUMIFS('caseload data'!T:T,'caseload data'!$D:$D,"PSO",'caseload data'!$A:$A,'divisional &amp; regional overview'!$B$112)</f>
        <v>0</v>
      </c>
      <c r="U129" s="97" t="s">
        <v>1024</v>
      </c>
      <c r="V129" s="167" t="e">
        <f>C$129/SUM(C$128:C$131)</f>
        <v>#DIV/0!</v>
      </c>
      <c r="W129" s="167" t="e">
        <f>D$129/SUM(D$128:D$131)</f>
        <v>#DIV/0!</v>
      </c>
      <c r="X129" s="167" t="e">
        <f t="shared" ref="X129:AK129" si="17">E$129/SUM(E$128:E$131)</f>
        <v>#DIV/0!</v>
      </c>
      <c r="Y129" s="167" t="e">
        <f t="shared" si="17"/>
        <v>#DIV/0!</v>
      </c>
      <c r="Z129" s="167" t="e">
        <f t="shared" si="17"/>
        <v>#DIV/0!</v>
      </c>
      <c r="AA129" s="167" t="e">
        <f t="shared" si="17"/>
        <v>#DIV/0!</v>
      </c>
      <c r="AB129" s="167" t="e">
        <f t="shared" si="17"/>
        <v>#DIV/0!</v>
      </c>
      <c r="AC129" s="167" t="e">
        <f t="shared" si="17"/>
        <v>#DIV/0!</v>
      </c>
      <c r="AD129" s="167" t="e">
        <f t="shared" si="17"/>
        <v>#DIV/0!</v>
      </c>
      <c r="AE129" s="167" t="e">
        <f t="shared" si="17"/>
        <v>#DIV/0!</v>
      </c>
      <c r="AF129" s="167" t="e">
        <f t="shared" si="17"/>
        <v>#DIV/0!</v>
      </c>
      <c r="AG129" s="167" t="e">
        <f t="shared" si="17"/>
        <v>#DIV/0!</v>
      </c>
      <c r="AH129" s="167" t="e">
        <f t="shared" si="17"/>
        <v>#DIV/0!</v>
      </c>
      <c r="AI129" s="167" t="e">
        <f t="shared" si="17"/>
        <v>#DIV/0!</v>
      </c>
      <c r="AJ129" s="167" t="e">
        <f t="shared" si="17"/>
        <v>#DIV/0!</v>
      </c>
      <c r="AK129" s="167" t="e">
        <f t="shared" si="17"/>
        <v>#DIV/0!</v>
      </c>
    </row>
    <row r="130" spans="2:37" x14ac:dyDescent="0.25">
      <c r="B130" s="97" t="s">
        <v>1025</v>
      </c>
      <c r="C130" s="94">
        <f>SUMIFS('caseload data'!E:E,'caseload data'!$D:$D,"TPO",'caseload data'!$A:$A,'divisional &amp; regional overview'!$B$112)</f>
        <v>0</v>
      </c>
      <c r="D130" s="94">
        <f>SUMIFS('caseload data'!F:F,'caseload data'!$D:$D,"TPO",'caseload data'!$A:$A,'divisional &amp; regional overview'!$B$112)</f>
        <v>0</v>
      </c>
      <c r="E130" s="94">
        <f>SUMIFS('caseload data'!G:G,'caseload data'!$D:$D,"TPO",'caseload data'!$A:$A,'divisional &amp; regional overview'!$B$112)</f>
        <v>0</v>
      </c>
      <c r="F130" s="94">
        <f>SUMIFS('caseload data'!H:H,'caseload data'!$D:$D,"TPO",'caseload data'!$A:$A,'divisional &amp; regional overview'!$B$112)</f>
        <v>0</v>
      </c>
      <c r="G130" s="94">
        <f>SUMIFS('caseload data'!I:I,'caseload data'!$D:$D,"TPO",'caseload data'!$A:$A,'divisional &amp; regional overview'!$B$112)</f>
        <v>0</v>
      </c>
      <c r="H130" s="94">
        <f>SUMIFS('caseload data'!J:J,'caseload data'!$D:$D,"TPO",'caseload data'!$A:$A,'divisional &amp; regional overview'!$B$112)</f>
        <v>0</v>
      </c>
      <c r="I130" s="94">
        <f>SUMIFS('caseload data'!K:K,'caseload data'!$D:$D,"TPO",'caseload data'!$A:$A,'divisional &amp; regional overview'!$B$112)</f>
        <v>0</v>
      </c>
      <c r="J130" s="94">
        <f>SUMIFS('caseload data'!L:L,'caseload data'!$D:$D,"TPO",'caseload data'!$A:$A,'divisional &amp; regional overview'!$B$112)</f>
        <v>0</v>
      </c>
      <c r="K130" s="94">
        <f>SUMIFS('caseload data'!M:M,'caseload data'!$D:$D,"TPO",'caseload data'!$A:$A,'divisional &amp; regional overview'!$B$112)</f>
        <v>0</v>
      </c>
      <c r="L130" s="94">
        <f>SUMIFS('caseload data'!N:N,'caseload data'!$D:$D,"TPO",'caseload data'!$A:$A,'divisional &amp; regional overview'!$B$112)</f>
        <v>0</v>
      </c>
      <c r="M130" s="94">
        <f>SUMIFS('caseload data'!O:O,'caseload data'!$D:$D,"TPO",'caseload data'!$A:$A,'divisional &amp; regional overview'!$B$112)</f>
        <v>0</v>
      </c>
      <c r="N130" s="94">
        <f>SUMIFS('caseload data'!P:P,'caseload data'!$D:$D,"TPO",'caseload data'!$A:$A,'divisional &amp; regional overview'!$B$112)</f>
        <v>0</v>
      </c>
      <c r="O130" s="94">
        <f>SUMIFS('caseload data'!Q:Q,'caseload data'!$D:$D,"TPO",'caseload data'!$A:$A,'divisional &amp; regional overview'!$B$112)</f>
        <v>0</v>
      </c>
      <c r="P130" s="94">
        <f>SUMIFS('caseload data'!R:R,'caseload data'!$D:$D,"TPO",'caseload data'!$A:$A,'divisional &amp; regional overview'!$B$112)</f>
        <v>0</v>
      </c>
      <c r="Q130" s="94">
        <f>SUMIFS('caseload data'!S:S,'caseload data'!$D:$D,"TPO",'caseload data'!$A:$A,'divisional &amp; regional overview'!$B$112)</f>
        <v>0</v>
      </c>
      <c r="R130" s="94">
        <f>SUMIFS('caseload data'!T:T,'caseload data'!$D:$D,"TPO",'caseload data'!$A:$A,'divisional &amp; regional overview'!$B$112)</f>
        <v>0</v>
      </c>
      <c r="U130" s="97" t="s">
        <v>1025</v>
      </c>
      <c r="V130" s="167" t="e">
        <f>C$130/SUM(C$128:C$131)</f>
        <v>#DIV/0!</v>
      </c>
      <c r="W130" s="167" t="e">
        <f>D$130/SUM(D$128:D$131)</f>
        <v>#DIV/0!</v>
      </c>
      <c r="X130" s="167" t="e">
        <f t="shared" ref="X130:AK130" si="18">E$130/SUM(E$128:E$131)</f>
        <v>#DIV/0!</v>
      </c>
      <c r="Y130" s="167" t="e">
        <f t="shared" si="18"/>
        <v>#DIV/0!</v>
      </c>
      <c r="Z130" s="167" t="e">
        <f t="shared" si="18"/>
        <v>#DIV/0!</v>
      </c>
      <c r="AA130" s="167" t="e">
        <f t="shared" si="18"/>
        <v>#DIV/0!</v>
      </c>
      <c r="AB130" s="167" t="e">
        <f t="shared" si="18"/>
        <v>#DIV/0!</v>
      </c>
      <c r="AC130" s="167" t="e">
        <f t="shared" si="18"/>
        <v>#DIV/0!</v>
      </c>
      <c r="AD130" s="167" t="e">
        <f t="shared" si="18"/>
        <v>#DIV/0!</v>
      </c>
      <c r="AE130" s="167" t="e">
        <f t="shared" si="18"/>
        <v>#DIV/0!</v>
      </c>
      <c r="AF130" s="167" t="e">
        <f t="shared" si="18"/>
        <v>#DIV/0!</v>
      </c>
      <c r="AG130" s="167" t="e">
        <f t="shared" si="18"/>
        <v>#DIV/0!</v>
      </c>
      <c r="AH130" s="167" t="e">
        <f t="shared" si="18"/>
        <v>#DIV/0!</v>
      </c>
      <c r="AI130" s="167" t="e">
        <f t="shared" si="18"/>
        <v>#DIV/0!</v>
      </c>
      <c r="AJ130" s="167" t="e">
        <f t="shared" si="18"/>
        <v>#DIV/0!</v>
      </c>
      <c r="AK130" s="167" t="e">
        <f t="shared" si="18"/>
        <v>#DIV/0!</v>
      </c>
    </row>
    <row r="131" spans="2:37" x14ac:dyDescent="0.25">
      <c r="B131" s="98" t="s">
        <v>1026</v>
      </c>
      <c r="C131" s="94">
        <f>SUMIFS('caseload data'!E:E,'caseload data'!$D:$D,"SPO",'caseload data'!$A:$A,$B$105)</f>
        <v>0</v>
      </c>
      <c r="D131" s="94">
        <f>SUMIFS('caseload data'!F:F,'caseload data'!$D:$D,"SPO",'caseload data'!$A:$A,$B$105)</f>
        <v>0</v>
      </c>
      <c r="E131" s="94">
        <f>SUMIFS('caseload data'!G:G,'caseload data'!$D:$D,"SPO",'caseload data'!$A:$A,$B$105)</f>
        <v>0</v>
      </c>
      <c r="F131" s="94">
        <f>SUMIFS('caseload data'!H:H,'caseload data'!$D:$D,"SPO",'caseload data'!$A:$A,$B$105)</f>
        <v>0</v>
      </c>
      <c r="G131" s="94">
        <f>SUMIFS('caseload data'!I:I,'caseload data'!$D:$D,"SPO",'caseload data'!$A:$A,$B$105)</f>
        <v>0</v>
      </c>
      <c r="H131" s="94">
        <f>SUMIFS('caseload data'!J:J,'caseload data'!$D:$D,"SPO",'caseload data'!$A:$A,$B$105)</f>
        <v>0</v>
      </c>
      <c r="I131" s="94">
        <f>SUMIFS('caseload data'!K:K,'caseload data'!$D:$D,"SPO",'caseload data'!$A:$A,$B$105)</f>
        <v>0</v>
      </c>
      <c r="J131" s="94">
        <f>SUMIFS('caseload data'!L:L,'caseload data'!$D:$D,"SPO",'caseload data'!$A:$A,$B$105)</f>
        <v>0</v>
      </c>
      <c r="K131" s="94">
        <f>SUMIFS('caseload data'!M:M,'caseload data'!$D:$D,"SPO",'caseload data'!$A:$A,$B$105)</f>
        <v>0</v>
      </c>
      <c r="L131" s="94">
        <f>SUMIFS('caseload data'!N:N,'caseload data'!$D:$D,"SPO",'caseload data'!$A:$A,$B$105)</f>
        <v>0</v>
      </c>
      <c r="M131" s="94">
        <f>SUMIFS('caseload data'!O:O,'caseload data'!$D:$D,"SPO",'caseload data'!$A:$A,$B$105)</f>
        <v>0</v>
      </c>
      <c r="N131" s="94">
        <f>SUMIFS('caseload data'!P:P,'caseload data'!$D:$D,"SPO",'caseload data'!$A:$A,$B$105)</f>
        <v>0</v>
      </c>
      <c r="O131" s="94">
        <f>SUMIFS('caseload data'!Q:Q,'caseload data'!$D:$D,"SPO",'caseload data'!$A:$A,$B$105)</f>
        <v>0</v>
      </c>
      <c r="P131" s="94">
        <f>SUMIFS('caseload data'!R:R,'caseload data'!$D:$D,"SPO",'caseload data'!$A:$A,$B$105)</f>
        <v>0</v>
      </c>
      <c r="Q131" s="94">
        <f>SUMIFS('caseload data'!S:S,'caseload data'!$D:$D,"SPO",'caseload data'!$A:$A,$B$105)</f>
        <v>0</v>
      </c>
      <c r="R131" s="94">
        <f>SUMIFS('caseload data'!T:T,'caseload data'!$D:$D,"SPO",'caseload data'!$A:$A,$B$105)</f>
        <v>0</v>
      </c>
      <c r="U131" s="98" t="s">
        <v>1026</v>
      </c>
      <c r="V131" s="167" t="e">
        <f>C$131/SUM(C$128:C$131)</f>
        <v>#DIV/0!</v>
      </c>
      <c r="W131" s="167" t="e">
        <f>D$131/SUM(D$128:D$131)</f>
        <v>#DIV/0!</v>
      </c>
      <c r="X131" s="167" t="e">
        <f t="shared" ref="X131:AK131" si="19">E$131/SUM(E$128:E$131)</f>
        <v>#DIV/0!</v>
      </c>
      <c r="Y131" s="167" t="e">
        <f t="shared" si="19"/>
        <v>#DIV/0!</v>
      </c>
      <c r="Z131" s="167" t="e">
        <f t="shared" si="19"/>
        <v>#DIV/0!</v>
      </c>
      <c r="AA131" s="167" t="e">
        <f t="shared" si="19"/>
        <v>#DIV/0!</v>
      </c>
      <c r="AB131" s="167" t="e">
        <f t="shared" si="19"/>
        <v>#DIV/0!</v>
      </c>
      <c r="AC131" s="167" t="e">
        <f t="shared" si="19"/>
        <v>#DIV/0!</v>
      </c>
      <c r="AD131" s="167" t="e">
        <f t="shared" si="19"/>
        <v>#DIV/0!</v>
      </c>
      <c r="AE131" s="167" t="e">
        <f t="shared" si="19"/>
        <v>#DIV/0!</v>
      </c>
      <c r="AF131" s="167" t="e">
        <f t="shared" si="19"/>
        <v>#DIV/0!</v>
      </c>
      <c r="AG131" s="167" t="e">
        <f t="shared" si="19"/>
        <v>#DIV/0!</v>
      </c>
      <c r="AH131" s="167" t="e">
        <f t="shared" si="19"/>
        <v>#DIV/0!</v>
      </c>
      <c r="AI131" s="167" t="e">
        <f t="shared" si="19"/>
        <v>#DIV/0!</v>
      </c>
      <c r="AJ131" s="167" t="e">
        <f t="shared" si="19"/>
        <v>#DIV/0!</v>
      </c>
      <c r="AK131" s="167" t="e">
        <f t="shared" si="19"/>
        <v>#DIV/0!</v>
      </c>
    </row>
  </sheetData>
  <sortState xmlns:xlrd2="http://schemas.microsoft.com/office/spreadsheetml/2017/richdata2" ref="B34:D88">
    <sortCondition ref="B34:B88"/>
  </sortState>
  <mergeCells count="19">
    <mergeCell ref="V119:AK119"/>
    <mergeCell ref="V126:AK126"/>
    <mergeCell ref="C112:R112"/>
    <mergeCell ref="C119:R119"/>
    <mergeCell ref="C126:R126"/>
    <mergeCell ref="B19:H19"/>
    <mergeCell ref="B13:M13"/>
    <mergeCell ref="A1:M1"/>
    <mergeCell ref="V105:AK105"/>
    <mergeCell ref="V112:AK112"/>
    <mergeCell ref="F37:F40"/>
    <mergeCell ref="G37:G40"/>
    <mergeCell ref="B26:K26"/>
    <mergeCell ref="B32:D32"/>
    <mergeCell ref="F32:G32"/>
    <mergeCell ref="A2:L2"/>
    <mergeCell ref="C91:S91"/>
    <mergeCell ref="C98:R98"/>
    <mergeCell ref="C105:R105"/>
  </mergeCells>
  <conditionalFormatting sqref="C9:F10">
    <cfRule type="cellIs" dxfId="6336" priority="351" operator="lessThan">
      <formula>0.9</formula>
    </cfRule>
    <cfRule type="cellIs" dxfId="6335" priority="352" operator="greaterThanOrEqual">
      <formula>1.1</formula>
    </cfRule>
  </conditionalFormatting>
  <conditionalFormatting sqref="C108:F109 C122:F123 C129:F130 C115:F116">
    <cfRule type="cellIs" dxfId="6334" priority="337" operator="equal">
      <formula>0</formula>
    </cfRule>
    <cfRule type="cellIs" dxfId="6333" priority="338" operator="notEqual">
      <formula>0</formula>
    </cfRule>
  </conditionalFormatting>
  <conditionalFormatting sqref="G108:G109">
    <cfRule type="cellIs" dxfId="6332" priority="255" operator="equal">
      <formula>0</formula>
    </cfRule>
    <cfRule type="cellIs" dxfId="6331" priority="256" operator="notEqual">
      <formula>0</formula>
    </cfRule>
  </conditionalFormatting>
  <conditionalFormatting sqref="H108:H109">
    <cfRule type="cellIs" dxfId="6330" priority="253" operator="equal">
      <formula>0</formula>
    </cfRule>
    <cfRule type="cellIs" dxfId="6329" priority="254" operator="notEqual">
      <formula>0</formula>
    </cfRule>
  </conditionalFormatting>
  <conditionalFormatting sqref="I108:I109">
    <cfRule type="cellIs" dxfId="6328" priority="251" operator="equal">
      <formula>0</formula>
    </cfRule>
    <cfRule type="cellIs" dxfId="6327" priority="252" operator="notEqual">
      <formula>0</formula>
    </cfRule>
  </conditionalFormatting>
  <conditionalFormatting sqref="J108:J109">
    <cfRule type="cellIs" dxfId="6326" priority="249" operator="equal">
      <formula>0</formula>
    </cfRule>
    <cfRule type="cellIs" dxfId="6325" priority="250" operator="notEqual">
      <formula>0</formula>
    </cfRule>
  </conditionalFormatting>
  <conditionalFormatting sqref="O107">
    <cfRule type="cellIs" dxfId="6324" priority="247" operator="equal">
      <formula>0</formula>
    </cfRule>
    <cfRule type="cellIs" dxfId="6323" priority="248" operator="notEqual">
      <formula>0</formula>
    </cfRule>
  </conditionalFormatting>
  <conditionalFormatting sqref="O110">
    <cfRule type="cellIs" dxfId="6322" priority="245" operator="equal">
      <formula>0</formula>
    </cfRule>
    <cfRule type="cellIs" dxfId="6321" priority="246" operator="notEqual">
      <formula>0</formula>
    </cfRule>
  </conditionalFormatting>
  <conditionalFormatting sqref="P107">
    <cfRule type="cellIs" dxfId="6320" priority="243" operator="equal">
      <formula>0</formula>
    </cfRule>
    <cfRule type="cellIs" dxfId="6319" priority="244" operator="notEqual">
      <formula>0</formula>
    </cfRule>
  </conditionalFormatting>
  <conditionalFormatting sqref="P110">
    <cfRule type="cellIs" dxfId="6318" priority="241" operator="equal">
      <formula>0</formula>
    </cfRule>
    <cfRule type="cellIs" dxfId="6317" priority="242" operator="notEqual">
      <formula>0</formula>
    </cfRule>
  </conditionalFormatting>
  <conditionalFormatting sqref="Q107">
    <cfRule type="cellIs" dxfId="6316" priority="239" operator="equal">
      <formula>0</formula>
    </cfRule>
    <cfRule type="cellIs" dxfId="6315" priority="240" operator="notEqual">
      <formula>0</formula>
    </cfRule>
  </conditionalFormatting>
  <conditionalFormatting sqref="Q110">
    <cfRule type="cellIs" dxfId="6314" priority="237" operator="equal">
      <formula>0</formula>
    </cfRule>
    <cfRule type="cellIs" dxfId="6313" priority="238" operator="notEqual">
      <formula>0</formula>
    </cfRule>
  </conditionalFormatting>
  <conditionalFormatting sqref="R107">
    <cfRule type="cellIs" dxfId="6312" priority="235" operator="equal">
      <formula>0</formula>
    </cfRule>
    <cfRule type="cellIs" dxfId="6311" priority="236" operator="notEqual">
      <formula>0</formula>
    </cfRule>
  </conditionalFormatting>
  <conditionalFormatting sqref="R110">
    <cfRule type="cellIs" dxfId="6310" priority="233" operator="equal">
      <formula>0</formula>
    </cfRule>
    <cfRule type="cellIs" dxfId="6309" priority="234" operator="notEqual">
      <formula>0</formula>
    </cfRule>
  </conditionalFormatting>
  <conditionalFormatting sqref="G122:G123">
    <cfRule type="cellIs" dxfId="6308" priority="203" operator="equal">
      <formula>0</formula>
    </cfRule>
    <cfRule type="cellIs" dxfId="6307" priority="204" operator="notEqual">
      <formula>0</formula>
    </cfRule>
  </conditionalFormatting>
  <conditionalFormatting sqref="H122:H123">
    <cfRule type="cellIs" dxfId="6306" priority="201" operator="equal">
      <formula>0</formula>
    </cfRule>
    <cfRule type="cellIs" dxfId="6305" priority="202" operator="notEqual">
      <formula>0</formula>
    </cfRule>
  </conditionalFormatting>
  <conditionalFormatting sqref="I122:I123">
    <cfRule type="cellIs" dxfId="6304" priority="199" operator="equal">
      <formula>0</formula>
    </cfRule>
    <cfRule type="cellIs" dxfId="6303" priority="200" operator="notEqual">
      <formula>0</formula>
    </cfRule>
  </conditionalFormatting>
  <conditionalFormatting sqref="J122:J123">
    <cfRule type="cellIs" dxfId="6302" priority="197" operator="equal">
      <formula>0</formula>
    </cfRule>
    <cfRule type="cellIs" dxfId="6301" priority="198" operator="notEqual">
      <formula>0</formula>
    </cfRule>
  </conditionalFormatting>
  <conditionalFormatting sqref="O121">
    <cfRule type="cellIs" dxfId="6300" priority="195" operator="equal">
      <formula>0</formula>
    </cfRule>
    <cfRule type="cellIs" dxfId="6299" priority="196" operator="notEqual">
      <formula>0</formula>
    </cfRule>
  </conditionalFormatting>
  <conditionalFormatting sqref="O124">
    <cfRule type="cellIs" dxfId="6298" priority="193" operator="equal">
      <formula>0</formula>
    </cfRule>
    <cfRule type="cellIs" dxfId="6297" priority="194" operator="notEqual">
      <formula>0</formula>
    </cfRule>
  </conditionalFormatting>
  <conditionalFormatting sqref="P121">
    <cfRule type="cellIs" dxfId="6296" priority="191" operator="equal">
      <formula>0</formula>
    </cfRule>
    <cfRule type="cellIs" dxfId="6295" priority="192" operator="notEqual">
      <formula>0</formula>
    </cfRule>
  </conditionalFormatting>
  <conditionalFormatting sqref="P124">
    <cfRule type="cellIs" dxfId="6294" priority="189" operator="equal">
      <formula>0</formula>
    </cfRule>
    <cfRule type="cellIs" dxfId="6293" priority="190" operator="notEqual">
      <formula>0</formula>
    </cfRule>
  </conditionalFormatting>
  <conditionalFormatting sqref="Q121">
    <cfRule type="cellIs" dxfId="6292" priority="187" operator="equal">
      <formula>0</formula>
    </cfRule>
    <cfRule type="cellIs" dxfId="6291" priority="188" operator="notEqual">
      <formula>0</formula>
    </cfRule>
  </conditionalFormatting>
  <conditionalFormatting sqref="Q124">
    <cfRule type="cellIs" dxfId="6290" priority="185" operator="equal">
      <formula>0</formula>
    </cfRule>
    <cfRule type="cellIs" dxfId="6289" priority="186" operator="notEqual">
      <formula>0</formula>
    </cfRule>
  </conditionalFormatting>
  <conditionalFormatting sqref="R121">
    <cfRule type="cellIs" dxfId="6288" priority="183" operator="equal">
      <formula>0</formula>
    </cfRule>
    <cfRule type="cellIs" dxfId="6287" priority="184" operator="notEqual">
      <formula>0</formula>
    </cfRule>
  </conditionalFormatting>
  <conditionalFormatting sqref="R124">
    <cfRule type="cellIs" dxfId="6286" priority="181" operator="equal">
      <formula>0</formula>
    </cfRule>
    <cfRule type="cellIs" dxfId="6285" priority="182" operator="notEqual">
      <formula>0</formula>
    </cfRule>
  </conditionalFormatting>
  <conditionalFormatting sqref="G129:G130">
    <cfRule type="cellIs" dxfId="6284" priority="177" operator="equal">
      <formula>0</formula>
    </cfRule>
    <cfRule type="cellIs" dxfId="6283" priority="178" operator="notEqual">
      <formula>0</formula>
    </cfRule>
  </conditionalFormatting>
  <conditionalFormatting sqref="H129:H130">
    <cfRule type="cellIs" dxfId="6282" priority="175" operator="equal">
      <formula>0</formula>
    </cfRule>
    <cfRule type="cellIs" dxfId="6281" priority="176" operator="notEqual">
      <formula>0</formula>
    </cfRule>
  </conditionalFormatting>
  <conditionalFormatting sqref="I129:I130">
    <cfRule type="cellIs" dxfId="6280" priority="173" operator="equal">
      <formula>0</formula>
    </cfRule>
    <cfRule type="cellIs" dxfId="6279" priority="174" operator="notEqual">
      <formula>0</formula>
    </cfRule>
  </conditionalFormatting>
  <conditionalFormatting sqref="J129:J130">
    <cfRule type="cellIs" dxfId="6278" priority="171" operator="equal">
      <formula>0</formula>
    </cfRule>
    <cfRule type="cellIs" dxfId="6277" priority="172" operator="notEqual">
      <formula>0</formula>
    </cfRule>
  </conditionalFormatting>
  <conditionalFormatting sqref="O128">
    <cfRule type="cellIs" dxfId="6276" priority="169" operator="equal">
      <formula>0</formula>
    </cfRule>
    <cfRule type="cellIs" dxfId="6275" priority="170" operator="notEqual">
      <formula>0</formula>
    </cfRule>
  </conditionalFormatting>
  <conditionalFormatting sqref="O131">
    <cfRule type="cellIs" dxfId="6274" priority="167" operator="equal">
      <formula>0</formula>
    </cfRule>
    <cfRule type="cellIs" dxfId="6273" priority="168" operator="notEqual">
      <formula>0</formula>
    </cfRule>
  </conditionalFormatting>
  <conditionalFormatting sqref="P128">
    <cfRule type="cellIs" dxfId="6272" priority="165" operator="equal">
      <formula>0</formula>
    </cfRule>
    <cfRule type="cellIs" dxfId="6271" priority="166" operator="notEqual">
      <formula>0</formula>
    </cfRule>
  </conditionalFormatting>
  <conditionalFormatting sqref="P131">
    <cfRule type="cellIs" dxfId="6270" priority="163" operator="equal">
      <formula>0</formula>
    </cfRule>
    <cfRule type="cellIs" dxfId="6269" priority="164" operator="notEqual">
      <formula>0</formula>
    </cfRule>
  </conditionalFormatting>
  <conditionalFormatting sqref="Q128">
    <cfRule type="cellIs" dxfId="6268" priority="161" operator="equal">
      <formula>0</formula>
    </cfRule>
    <cfRule type="cellIs" dxfId="6267" priority="162" operator="notEqual">
      <formula>0</formula>
    </cfRule>
  </conditionalFormatting>
  <conditionalFormatting sqref="Q131">
    <cfRule type="cellIs" dxfId="6266" priority="159" operator="equal">
      <formula>0</formula>
    </cfRule>
    <cfRule type="cellIs" dxfId="6265" priority="160" operator="notEqual">
      <formula>0</formula>
    </cfRule>
  </conditionalFormatting>
  <conditionalFormatting sqref="R128">
    <cfRule type="cellIs" dxfId="6264" priority="157" operator="equal">
      <formula>0</formula>
    </cfRule>
    <cfRule type="cellIs" dxfId="6263" priority="158" operator="notEqual">
      <formula>0</formula>
    </cfRule>
  </conditionalFormatting>
  <conditionalFormatting sqref="R131">
    <cfRule type="cellIs" dxfId="6262" priority="155" operator="equal">
      <formula>0</formula>
    </cfRule>
    <cfRule type="cellIs" dxfId="6261" priority="156" operator="notEqual">
      <formula>0</formula>
    </cfRule>
  </conditionalFormatting>
  <conditionalFormatting sqref="V108:V109">
    <cfRule type="cellIs" dxfId="6260" priority="153" operator="equal">
      <formula>0</formula>
    </cfRule>
    <cfRule type="cellIs" dxfId="6259" priority="154" operator="notEqual">
      <formula>0</formula>
    </cfRule>
  </conditionalFormatting>
  <conditionalFormatting sqref="W108:W109">
    <cfRule type="cellIs" dxfId="6258" priority="151" operator="equal">
      <formula>0</formula>
    </cfRule>
    <cfRule type="cellIs" dxfId="6257" priority="152" operator="notEqual">
      <formula>0</formula>
    </cfRule>
  </conditionalFormatting>
  <conditionalFormatting sqref="X108:X109">
    <cfRule type="cellIs" dxfId="6256" priority="149" operator="equal">
      <formula>0</formula>
    </cfRule>
    <cfRule type="cellIs" dxfId="6255" priority="150" operator="notEqual">
      <formula>0</formula>
    </cfRule>
  </conditionalFormatting>
  <conditionalFormatting sqref="Y108:Y109">
    <cfRule type="cellIs" dxfId="6254" priority="147" operator="equal">
      <formula>0</formula>
    </cfRule>
    <cfRule type="cellIs" dxfId="6253" priority="148" operator="notEqual">
      <formula>0</formula>
    </cfRule>
  </conditionalFormatting>
  <conditionalFormatting sqref="Z108:Z109">
    <cfRule type="cellIs" dxfId="6252" priority="145" operator="equal">
      <formula>0</formula>
    </cfRule>
    <cfRule type="cellIs" dxfId="6251" priority="146" operator="notEqual">
      <formula>0</formula>
    </cfRule>
  </conditionalFormatting>
  <conditionalFormatting sqref="AA108:AA109">
    <cfRule type="cellIs" dxfId="6250" priority="143" operator="equal">
      <formula>0</formula>
    </cfRule>
    <cfRule type="cellIs" dxfId="6249" priority="144" operator="notEqual">
      <formula>0</formula>
    </cfRule>
  </conditionalFormatting>
  <conditionalFormatting sqref="AB108:AB109">
    <cfRule type="cellIs" dxfId="6248" priority="141" operator="equal">
      <formula>0</formula>
    </cfRule>
    <cfRule type="cellIs" dxfId="6247" priority="142" operator="notEqual">
      <formula>0</formula>
    </cfRule>
  </conditionalFormatting>
  <conditionalFormatting sqref="AC108:AC109">
    <cfRule type="cellIs" dxfId="6246" priority="139" operator="equal">
      <formula>0</formula>
    </cfRule>
    <cfRule type="cellIs" dxfId="6245" priority="140" operator="notEqual">
      <formula>0</formula>
    </cfRule>
  </conditionalFormatting>
  <conditionalFormatting sqref="AH107">
    <cfRule type="cellIs" dxfId="6244" priority="137" operator="equal">
      <formula>0</formula>
    </cfRule>
    <cfRule type="cellIs" dxfId="6243" priority="138" operator="notEqual">
      <formula>0</formula>
    </cfRule>
  </conditionalFormatting>
  <conditionalFormatting sqref="AH110">
    <cfRule type="cellIs" dxfId="6242" priority="135" operator="equal">
      <formula>0</formula>
    </cfRule>
    <cfRule type="cellIs" dxfId="6241" priority="136" operator="notEqual">
      <formula>0</formula>
    </cfRule>
  </conditionalFormatting>
  <conditionalFormatting sqref="AI107">
    <cfRule type="cellIs" dxfId="6240" priority="133" operator="equal">
      <formula>0</formula>
    </cfRule>
    <cfRule type="cellIs" dxfId="6239" priority="134" operator="notEqual">
      <formula>0</formula>
    </cfRule>
  </conditionalFormatting>
  <conditionalFormatting sqref="AI110">
    <cfRule type="cellIs" dxfId="6238" priority="131" operator="equal">
      <formula>0</formula>
    </cfRule>
    <cfRule type="cellIs" dxfId="6237" priority="132" operator="notEqual">
      <formula>0</formula>
    </cfRule>
  </conditionalFormatting>
  <conditionalFormatting sqref="AJ107">
    <cfRule type="cellIs" dxfId="6236" priority="129" operator="equal">
      <formula>0</formula>
    </cfRule>
    <cfRule type="cellIs" dxfId="6235" priority="130" operator="notEqual">
      <formula>0</formula>
    </cfRule>
  </conditionalFormatting>
  <conditionalFormatting sqref="AJ110">
    <cfRule type="cellIs" dxfId="6234" priority="127" operator="equal">
      <formula>0</formula>
    </cfRule>
    <cfRule type="cellIs" dxfId="6233" priority="128" operator="notEqual">
      <formula>0</formula>
    </cfRule>
  </conditionalFormatting>
  <conditionalFormatting sqref="AK107">
    <cfRule type="cellIs" dxfId="6232" priority="125" operator="equal">
      <formula>0</formula>
    </cfRule>
    <cfRule type="cellIs" dxfId="6231" priority="126" operator="notEqual">
      <formula>0</formula>
    </cfRule>
  </conditionalFormatting>
  <conditionalFormatting sqref="AK110">
    <cfRule type="cellIs" dxfId="6230" priority="123" operator="equal">
      <formula>0</formula>
    </cfRule>
    <cfRule type="cellIs" dxfId="6229" priority="124" operator="notEqual">
      <formula>0</formula>
    </cfRule>
  </conditionalFormatting>
  <conditionalFormatting sqref="V115:V116">
    <cfRule type="cellIs" dxfId="6228" priority="121" operator="equal">
      <formula>0</formula>
    </cfRule>
    <cfRule type="cellIs" dxfId="6227" priority="122" operator="notEqual">
      <formula>0</formula>
    </cfRule>
  </conditionalFormatting>
  <conditionalFormatting sqref="W115:W116">
    <cfRule type="cellIs" dxfId="6226" priority="119" operator="equal">
      <formula>0</formula>
    </cfRule>
    <cfRule type="cellIs" dxfId="6225" priority="120" operator="notEqual">
      <formula>0</formula>
    </cfRule>
  </conditionalFormatting>
  <conditionalFormatting sqref="X115:X116">
    <cfRule type="cellIs" dxfId="6224" priority="117" operator="equal">
      <formula>0</formula>
    </cfRule>
    <cfRule type="cellIs" dxfId="6223" priority="118" operator="notEqual">
      <formula>0</formula>
    </cfRule>
  </conditionalFormatting>
  <conditionalFormatting sqref="Y115:Y116">
    <cfRule type="cellIs" dxfId="6222" priority="115" operator="equal">
      <formula>0</formula>
    </cfRule>
    <cfRule type="cellIs" dxfId="6221" priority="116" operator="notEqual">
      <formula>0</formula>
    </cfRule>
  </conditionalFormatting>
  <conditionalFormatting sqref="Z115:Z116">
    <cfRule type="cellIs" dxfId="6220" priority="113" operator="equal">
      <formula>0</formula>
    </cfRule>
    <cfRule type="cellIs" dxfId="6219" priority="114" operator="notEqual">
      <formula>0</formula>
    </cfRule>
  </conditionalFormatting>
  <conditionalFormatting sqref="AA115:AA116">
    <cfRule type="cellIs" dxfId="6218" priority="111" operator="equal">
      <formula>0</formula>
    </cfRule>
    <cfRule type="cellIs" dxfId="6217" priority="112" operator="notEqual">
      <formula>0</formula>
    </cfRule>
  </conditionalFormatting>
  <conditionalFormatting sqref="AB115:AB116">
    <cfRule type="cellIs" dxfId="6216" priority="109" operator="equal">
      <formula>0</formula>
    </cfRule>
    <cfRule type="cellIs" dxfId="6215" priority="110" operator="notEqual">
      <formula>0</formula>
    </cfRule>
  </conditionalFormatting>
  <conditionalFormatting sqref="AC115:AC116">
    <cfRule type="cellIs" dxfId="6214" priority="107" operator="equal">
      <formula>0</formula>
    </cfRule>
    <cfRule type="cellIs" dxfId="6213" priority="108" operator="notEqual">
      <formula>0</formula>
    </cfRule>
  </conditionalFormatting>
  <conditionalFormatting sqref="AH114">
    <cfRule type="cellIs" dxfId="6212" priority="105" operator="equal">
      <formula>0</formula>
    </cfRule>
    <cfRule type="cellIs" dxfId="6211" priority="106" operator="notEqual">
      <formula>0</formula>
    </cfRule>
  </conditionalFormatting>
  <conditionalFormatting sqref="AH117">
    <cfRule type="cellIs" dxfId="6210" priority="103" operator="equal">
      <formula>0</formula>
    </cfRule>
    <cfRule type="cellIs" dxfId="6209" priority="104" operator="notEqual">
      <formula>0</formula>
    </cfRule>
  </conditionalFormatting>
  <conditionalFormatting sqref="AI114">
    <cfRule type="cellIs" dxfId="6208" priority="101" operator="equal">
      <formula>0</formula>
    </cfRule>
    <cfRule type="cellIs" dxfId="6207" priority="102" operator="notEqual">
      <formula>0</formula>
    </cfRule>
  </conditionalFormatting>
  <conditionalFormatting sqref="AI117">
    <cfRule type="cellIs" dxfId="6206" priority="99" operator="equal">
      <formula>0</formula>
    </cfRule>
    <cfRule type="cellIs" dxfId="6205" priority="100" operator="notEqual">
      <formula>0</formula>
    </cfRule>
  </conditionalFormatting>
  <conditionalFormatting sqref="AJ114">
    <cfRule type="cellIs" dxfId="6204" priority="97" operator="equal">
      <formula>0</formula>
    </cfRule>
    <cfRule type="cellIs" dxfId="6203" priority="98" operator="notEqual">
      <formula>0</formula>
    </cfRule>
  </conditionalFormatting>
  <conditionalFormatting sqref="AJ117">
    <cfRule type="cellIs" dxfId="6202" priority="95" operator="equal">
      <formula>0</formula>
    </cfRule>
    <cfRule type="cellIs" dxfId="6201" priority="96" operator="notEqual">
      <formula>0</formula>
    </cfRule>
  </conditionalFormatting>
  <conditionalFormatting sqref="AK114">
    <cfRule type="cellIs" dxfId="6200" priority="93" operator="equal">
      <formula>0</formula>
    </cfRule>
    <cfRule type="cellIs" dxfId="6199" priority="94" operator="notEqual">
      <formula>0</formula>
    </cfRule>
  </conditionalFormatting>
  <conditionalFormatting sqref="AK117">
    <cfRule type="cellIs" dxfId="6198" priority="91" operator="equal">
      <formula>0</formula>
    </cfRule>
    <cfRule type="cellIs" dxfId="6197" priority="92" operator="notEqual">
      <formula>0</formula>
    </cfRule>
  </conditionalFormatting>
  <conditionalFormatting sqref="V122:V123">
    <cfRule type="cellIs" dxfId="6196" priority="89" operator="equal">
      <formula>0</formula>
    </cfRule>
    <cfRule type="cellIs" dxfId="6195" priority="90" operator="notEqual">
      <formula>0</formula>
    </cfRule>
  </conditionalFormatting>
  <conditionalFormatting sqref="W122:W123">
    <cfRule type="cellIs" dxfId="6194" priority="87" operator="equal">
      <formula>0</formula>
    </cfRule>
    <cfRule type="cellIs" dxfId="6193" priority="88" operator="notEqual">
      <formula>0</formula>
    </cfRule>
  </conditionalFormatting>
  <conditionalFormatting sqref="X122:X123">
    <cfRule type="cellIs" dxfId="6192" priority="85" operator="equal">
      <formula>0</formula>
    </cfRule>
    <cfRule type="cellIs" dxfId="6191" priority="86" operator="notEqual">
      <formula>0</formula>
    </cfRule>
  </conditionalFormatting>
  <conditionalFormatting sqref="Y122:Y123">
    <cfRule type="cellIs" dxfId="6190" priority="83" operator="equal">
      <formula>0</formula>
    </cfRule>
    <cfRule type="cellIs" dxfId="6189" priority="84" operator="notEqual">
      <formula>0</formula>
    </cfRule>
  </conditionalFormatting>
  <conditionalFormatting sqref="Z122:Z123">
    <cfRule type="cellIs" dxfId="6188" priority="81" operator="equal">
      <formula>0</formula>
    </cfRule>
    <cfRule type="cellIs" dxfId="6187" priority="82" operator="notEqual">
      <formula>0</formula>
    </cfRule>
  </conditionalFormatting>
  <conditionalFormatting sqref="AA122:AA123">
    <cfRule type="cellIs" dxfId="6186" priority="79" operator="equal">
      <formula>0</formula>
    </cfRule>
    <cfRule type="cellIs" dxfId="6185" priority="80" operator="notEqual">
      <formula>0</formula>
    </cfRule>
  </conditionalFormatting>
  <conditionalFormatting sqref="AB122:AB123">
    <cfRule type="cellIs" dxfId="6184" priority="77" operator="equal">
      <formula>0</formula>
    </cfRule>
    <cfRule type="cellIs" dxfId="6183" priority="78" operator="notEqual">
      <formula>0</formula>
    </cfRule>
  </conditionalFormatting>
  <conditionalFormatting sqref="AC122:AC123">
    <cfRule type="cellIs" dxfId="6182" priority="75" operator="equal">
      <formula>0</formula>
    </cfRule>
    <cfRule type="cellIs" dxfId="6181" priority="76" operator="notEqual">
      <formula>0</formula>
    </cfRule>
  </conditionalFormatting>
  <conditionalFormatting sqref="AH121">
    <cfRule type="cellIs" dxfId="6180" priority="73" operator="equal">
      <formula>0</formula>
    </cfRule>
    <cfRule type="cellIs" dxfId="6179" priority="74" operator="notEqual">
      <formula>0</formula>
    </cfRule>
  </conditionalFormatting>
  <conditionalFormatting sqref="AH124">
    <cfRule type="cellIs" dxfId="6178" priority="71" operator="equal">
      <formula>0</formula>
    </cfRule>
    <cfRule type="cellIs" dxfId="6177" priority="72" operator="notEqual">
      <formula>0</formula>
    </cfRule>
  </conditionalFormatting>
  <conditionalFormatting sqref="AI121">
    <cfRule type="cellIs" dxfId="6176" priority="69" operator="equal">
      <formula>0</formula>
    </cfRule>
    <cfRule type="cellIs" dxfId="6175" priority="70" operator="notEqual">
      <formula>0</formula>
    </cfRule>
  </conditionalFormatting>
  <conditionalFormatting sqref="AI124">
    <cfRule type="cellIs" dxfId="6174" priority="67" operator="equal">
      <formula>0</formula>
    </cfRule>
    <cfRule type="cellIs" dxfId="6173" priority="68" operator="notEqual">
      <formula>0</formula>
    </cfRule>
  </conditionalFormatting>
  <conditionalFormatting sqref="AJ121">
    <cfRule type="cellIs" dxfId="6172" priority="65" operator="equal">
      <formula>0</formula>
    </cfRule>
    <cfRule type="cellIs" dxfId="6171" priority="66" operator="notEqual">
      <formula>0</formula>
    </cfRule>
  </conditionalFormatting>
  <conditionalFormatting sqref="AJ124">
    <cfRule type="cellIs" dxfId="6170" priority="63" operator="equal">
      <formula>0</formula>
    </cfRule>
    <cfRule type="cellIs" dxfId="6169" priority="64" operator="notEqual">
      <formula>0</formula>
    </cfRule>
  </conditionalFormatting>
  <conditionalFormatting sqref="AK121">
    <cfRule type="cellIs" dxfId="6168" priority="61" operator="equal">
      <formula>0</formula>
    </cfRule>
    <cfRule type="cellIs" dxfId="6167" priority="62" operator="notEqual">
      <formula>0</formula>
    </cfRule>
  </conditionalFormatting>
  <conditionalFormatting sqref="AK124">
    <cfRule type="cellIs" dxfId="6166" priority="59" operator="equal">
      <formula>0</formula>
    </cfRule>
    <cfRule type="cellIs" dxfId="6165" priority="60" operator="notEqual">
      <formula>0</formula>
    </cfRule>
  </conditionalFormatting>
  <conditionalFormatting sqref="V129:V130">
    <cfRule type="cellIs" dxfId="6164" priority="57" operator="equal">
      <formula>0</formula>
    </cfRule>
    <cfRule type="cellIs" dxfId="6163" priority="58" operator="notEqual">
      <formula>0</formula>
    </cfRule>
  </conditionalFormatting>
  <conditionalFormatting sqref="W129:W130">
    <cfRule type="cellIs" dxfId="6162" priority="55" operator="equal">
      <formula>0</formula>
    </cfRule>
    <cfRule type="cellIs" dxfId="6161" priority="56" operator="notEqual">
      <formula>0</formula>
    </cfRule>
  </conditionalFormatting>
  <conditionalFormatting sqref="X129:X130">
    <cfRule type="cellIs" dxfId="6160" priority="53" operator="equal">
      <formula>0</formula>
    </cfRule>
    <cfRule type="cellIs" dxfId="6159" priority="54" operator="notEqual">
      <formula>0</formula>
    </cfRule>
  </conditionalFormatting>
  <conditionalFormatting sqref="Y129:Y130">
    <cfRule type="cellIs" dxfId="6158" priority="51" operator="equal">
      <formula>0</formula>
    </cfRule>
    <cfRule type="cellIs" dxfId="6157" priority="52" operator="notEqual">
      <formula>0</formula>
    </cfRule>
  </conditionalFormatting>
  <conditionalFormatting sqref="Z129:Z130">
    <cfRule type="cellIs" dxfId="6156" priority="49" operator="equal">
      <formula>0</formula>
    </cfRule>
    <cfRule type="cellIs" dxfId="6155" priority="50" operator="notEqual">
      <formula>0</formula>
    </cfRule>
  </conditionalFormatting>
  <conditionalFormatting sqref="AA129:AA130">
    <cfRule type="cellIs" dxfId="6154" priority="47" operator="equal">
      <formula>0</formula>
    </cfRule>
    <cfRule type="cellIs" dxfId="6153" priority="48" operator="notEqual">
      <formula>0</formula>
    </cfRule>
  </conditionalFormatting>
  <conditionalFormatting sqref="AB129:AB130">
    <cfRule type="cellIs" dxfId="6152" priority="45" operator="equal">
      <formula>0</formula>
    </cfRule>
    <cfRule type="cellIs" dxfId="6151" priority="46" operator="notEqual">
      <formula>0</formula>
    </cfRule>
  </conditionalFormatting>
  <conditionalFormatting sqref="AC129:AC130">
    <cfRule type="cellIs" dxfId="6150" priority="43" operator="equal">
      <formula>0</formula>
    </cfRule>
    <cfRule type="cellIs" dxfId="6149" priority="44" operator="notEqual">
      <formula>0</formula>
    </cfRule>
  </conditionalFormatting>
  <conditionalFormatting sqref="AH128">
    <cfRule type="cellIs" dxfId="6148" priority="41" operator="equal">
      <formula>0</formula>
    </cfRule>
    <cfRule type="cellIs" dxfId="6147" priority="42" operator="notEqual">
      <formula>0</formula>
    </cfRule>
  </conditionalFormatting>
  <conditionalFormatting sqref="AH131">
    <cfRule type="cellIs" dxfId="6146" priority="39" operator="equal">
      <formula>0</formula>
    </cfRule>
    <cfRule type="cellIs" dxfId="6145" priority="40" operator="notEqual">
      <formula>0</formula>
    </cfRule>
  </conditionalFormatting>
  <conditionalFormatting sqref="AI128">
    <cfRule type="cellIs" dxfId="6144" priority="37" operator="equal">
      <formula>0</formula>
    </cfRule>
    <cfRule type="cellIs" dxfId="6143" priority="38" operator="notEqual">
      <formula>0</formula>
    </cfRule>
  </conditionalFormatting>
  <conditionalFormatting sqref="AI131">
    <cfRule type="cellIs" dxfId="6142" priority="35" operator="equal">
      <formula>0</formula>
    </cfRule>
    <cfRule type="cellIs" dxfId="6141" priority="36" operator="notEqual">
      <formula>0</formula>
    </cfRule>
  </conditionalFormatting>
  <conditionalFormatting sqref="AJ128">
    <cfRule type="cellIs" dxfId="6140" priority="33" operator="equal">
      <formula>0</formula>
    </cfRule>
    <cfRule type="cellIs" dxfId="6139" priority="34" operator="notEqual">
      <formula>0</formula>
    </cfRule>
  </conditionalFormatting>
  <conditionalFormatting sqref="AJ131">
    <cfRule type="cellIs" dxfId="6138" priority="31" operator="equal">
      <formula>0</formula>
    </cfRule>
    <cfRule type="cellIs" dxfId="6137" priority="32" operator="notEqual">
      <formula>0</formula>
    </cfRule>
  </conditionalFormatting>
  <conditionalFormatting sqref="AK128">
    <cfRule type="cellIs" dxfId="6136" priority="29" operator="equal">
      <formula>0</formula>
    </cfRule>
    <cfRule type="cellIs" dxfId="6135" priority="30" operator="notEqual">
      <formula>0</formula>
    </cfRule>
  </conditionalFormatting>
  <conditionalFormatting sqref="AK131">
    <cfRule type="cellIs" dxfId="6134" priority="27" operator="equal">
      <formula>0</formula>
    </cfRule>
    <cfRule type="cellIs" dxfId="6133" priority="28" operator="notEqual">
      <formula>0</formula>
    </cfRule>
  </conditionalFormatting>
  <conditionalFormatting sqref="G115:G116">
    <cfRule type="cellIs" dxfId="6132" priority="23" operator="equal">
      <formula>0</formula>
    </cfRule>
    <cfRule type="cellIs" dxfId="6131" priority="24" operator="notEqual">
      <formula>0</formula>
    </cfRule>
  </conditionalFormatting>
  <conditionalFormatting sqref="H115:H116">
    <cfRule type="cellIs" dxfId="6130" priority="21" operator="equal">
      <formula>0</formula>
    </cfRule>
    <cfRule type="cellIs" dxfId="6129" priority="22" operator="notEqual">
      <formula>0</formula>
    </cfRule>
  </conditionalFormatting>
  <conditionalFormatting sqref="I115:I116">
    <cfRule type="cellIs" dxfId="6128" priority="19" operator="equal">
      <formula>0</formula>
    </cfRule>
    <cfRule type="cellIs" dxfId="6127" priority="20" operator="notEqual">
      <formula>0</formula>
    </cfRule>
  </conditionalFormatting>
  <conditionalFormatting sqref="J115:J116">
    <cfRule type="cellIs" dxfId="6126" priority="17" operator="equal">
      <formula>0</formula>
    </cfRule>
    <cfRule type="cellIs" dxfId="6125" priority="18" operator="notEqual">
      <formula>0</formula>
    </cfRule>
  </conditionalFormatting>
  <conditionalFormatting sqref="O114">
    <cfRule type="cellIs" dxfId="6124" priority="15" operator="equal">
      <formula>0</formula>
    </cfRule>
    <cfRule type="cellIs" dxfId="6123" priority="16" operator="notEqual">
      <formula>0</formula>
    </cfRule>
  </conditionalFormatting>
  <conditionalFormatting sqref="O117">
    <cfRule type="cellIs" dxfId="6122" priority="13" operator="equal">
      <formula>0</formula>
    </cfRule>
    <cfRule type="cellIs" dxfId="6121" priority="14" operator="notEqual">
      <formula>0</formula>
    </cfRule>
  </conditionalFormatting>
  <conditionalFormatting sqref="P114">
    <cfRule type="cellIs" dxfId="6120" priority="11" operator="equal">
      <formula>0</formula>
    </cfRule>
    <cfRule type="cellIs" dxfId="6119" priority="12" operator="notEqual">
      <formula>0</formula>
    </cfRule>
  </conditionalFormatting>
  <conditionalFormatting sqref="P117">
    <cfRule type="cellIs" dxfId="6118" priority="9" operator="equal">
      <formula>0</formula>
    </cfRule>
    <cfRule type="cellIs" dxfId="6117" priority="10" operator="notEqual">
      <formula>0</formula>
    </cfRule>
  </conditionalFormatting>
  <conditionalFormatting sqref="Q114">
    <cfRule type="cellIs" dxfId="6116" priority="7" operator="equal">
      <formula>0</formula>
    </cfRule>
    <cfRule type="cellIs" dxfId="6115" priority="8" operator="notEqual">
      <formula>0</formula>
    </cfRule>
  </conditionalFormatting>
  <conditionalFormatting sqref="Q117">
    <cfRule type="cellIs" dxfId="6114" priority="5" operator="equal">
      <formula>0</formula>
    </cfRule>
    <cfRule type="cellIs" dxfId="6113" priority="6" operator="notEqual">
      <formula>0</formula>
    </cfRule>
  </conditionalFormatting>
  <conditionalFormatting sqref="R114">
    <cfRule type="cellIs" dxfId="6112" priority="3" operator="equal">
      <formula>0</formula>
    </cfRule>
    <cfRule type="cellIs" dxfId="6111" priority="4" operator="notEqual">
      <formula>0</formula>
    </cfRule>
  </conditionalFormatting>
  <conditionalFormatting sqref="R117">
    <cfRule type="cellIs" dxfId="6110" priority="1" operator="equal">
      <formula>0</formula>
    </cfRule>
    <cfRule type="cellIs" dxfId="6109"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H15" sqref="H15:M15"/>
    </sheetView>
  </sheetViews>
  <sheetFormatPr defaultColWidth="9.140625" defaultRowHeight="15" x14ac:dyDescent="0.25"/>
  <cols>
    <col min="2" max="2" width="48.5703125" customWidth="1"/>
    <col min="3" max="3" width="14.85546875" customWidth="1"/>
    <col min="4" max="4" width="15.85546875" customWidth="1"/>
    <col min="5" max="5" width="14.85546875" customWidth="1"/>
    <col min="6" max="6" width="17.140625" customWidth="1"/>
    <col min="7" max="7" width="11.5703125" customWidth="1"/>
    <col min="8" max="8" width="24.5703125" customWidth="1"/>
    <col min="9" max="9" width="20.42578125" customWidth="1"/>
    <col min="10" max="10" width="18" customWidth="1"/>
    <col min="11" max="11" width="20.28515625" customWidth="1"/>
    <col min="12" max="12" width="16.28515625" customWidth="1"/>
    <col min="13" max="13" width="21.28515625" customWidth="1"/>
    <col min="14" max="14" width="23.85546875" customWidth="1"/>
    <col min="21" max="21" width="9.85546875" hidden="1" customWidth="1"/>
    <col min="22" max="22" width="43.7109375" hidden="1" customWidth="1"/>
    <col min="23" max="26" width="9.140625" hidden="1" customWidth="1"/>
    <col min="27" max="27" width="0" hidden="1" customWidth="1"/>
  </cols>
  <sheetData>
    <row r="1" spans="1:26" ht="51.75" customHeight="1" x14ac:dyDescent="0.25">
      <c r="A1" s="435" t="s">
        <v>1030</v>
      </c>
      <c r="B1" s="435"/>
      <c r="C1" s="435"/>
      <c r="D1" s="435"/>
      <c r="E1" s="435"/>
      <c r="F1" s="435"/>
      <c r="G1" s="435"/>
      <c r="H1" s="435"/>
      <c r="I1" s="435"/>
      <c r="J1" s="435"/>
      <c r="K1" s="435"/>
      <c r="L1" s="435"/>
      <c r="M1" s="244"/>
      <c r="N1" s="244"/>
      <c r="O1" s="244"/>
      <c r="P1" s="244"/>
      <c r="Q1" s="244"/>
      <c r="R1" s="244"/>
      <c r="S1" s="244"/>
    </row>
    <row r="2" spans="1:26" ht="28.5" customHeight="1" x14ac:dyDescent="0.25">
      <c r="A2" s="430"/>
      <c r="B2" s="430"/>
      <c r="C2" s="430"/>
      <c r="D2" s="430"/>
      <c r="E2" s="430"/>
      <c r="F2" s="430"/>
      <c r="G2" s="430"/>
      <c r="H2" s="430"/>
      <c r="I2" s="430"/>
      <c r="J2" s="430"/>
      <c r="K2" s="430"/>
      <c r="L2" s="430"/>
      <c r="M2" s="241"/>
      <c r="N2" s="241"/>
      <c r="O2" s="241"/>
      <c r="P2" s="241"/>
      <c r="Q2" s="241"/>
      <c r="R2" s="241"/>
      <c r="S2" s="241"/>
    </row>
    <row r="4" spans="1:26" ht="36" customHeight="1" x14ac:dyDescent="0.25">
      <c r="B4" s="36" t="s">
        <v>957</v>
      </c>
      <c r="H4" s="36"/>
      <c r="S4" s="318"/>
      <c r="V4" s="310" t="s">
        <v>1272</v>
      </c>
      <c r="W4" s="310" cm="1">
        <f t="array" ref="W4">SUM(SUMIFS('capacity data'!K:K,'capacity data'!A:A,B5,'capacity data'!E:E,{"PO","PSO"}))</f>
        <v>0</v>
      </c>
      <c r="X4" s="317"/>
      <c r="Y4" s="310" t="s">
        <v>1275</v>
      </c>
      <c r="Z4" s="310" cm="1">
        <f t="array" ref="Z4">SUM(SUMIFS('capacity data'!K:K,'capacity data'!E:E,{"PO","PSO"}))</f>
        <v>0</v>
      </c>
    </row>
    <row r="5" spans="1:26" ht="38.1" customHeight="1" x14ac:dyDescent="0.25">
      <c r="B5" s="242" t="s">
        <v>21</v>
      </c>
      <c r="C5" s="40"/>
      <c r="H5" s="40"/>
      <c r="I5" s="40"/>
      <c r="S5" s="318"/>
      <c r="V5" s="311" t="s">
        <v>1273</v>
      </c>
      <c r="W5" s="310" cm="1">
        <f t="array" ref="W5">SUM(SUMIFS('capacity data'!I:I,'capacity data'!A:A,B5,'capacity data'!E:E,{"PO","PSO"}))-SUM((SUMIFS('capacity data'!J:J,'capacity data'!A:A,B5,'capacity data'!E:E,{"PO","PSO"})))</f>
        <v>0</v>
      </c>
      <c r="X5" s="317"/>
      <c r="Y5" s="311" t="s">
        <v>1276</v>
      </c>
      <c r="Z5" s="310" cm="1">
        <f t="array" ref="Z5">SUM(SUMIFS('capacity data'!I:I,'capacity data'!E:E,{"PO","PSO"}))-SUM((SUMIFS('capacity data'!J:J,'capacity data'!E:E,{"PO","PSO"})))</f>
        <v>0</v>
      </c>
    </row>
    <row r="6" spans="1:26" ht="38.1" customHeight="1" x14ac:dyDescent="0.25">
      <c r="C6" s="40"/>
      <c r="S6" s="318"/>
      <c r="V6" s="310" t="s">
        <v>1274</v>
      </c>
      <c r="W6" s="310">
        <f>W5/37</f>
        <v>0</v>
      </c>
      <c r="X6" s="317"/>
      <c r="Y6" s="310" t="s">
        <v>1274</v>
      </c>
      <c r="Z6" s="310">
        <f>Z5/37</f>
        <v>0</v>
      </c>
    </row>
    <row r="7" spans="1:26" ht="27.95" customHeight="1" x14ac:dyDescent="0.25">
      <c r="B7" s="298" t="s">
        <v>1031</v>
      </c>
      <c r="C7" s="282"/>
      <c r="D7" s="282"/>
      <c r="E7" s="282"/>
      <c r="F7" s="281"/>
      <c r="H7" s="438" t="s">
        <v>1032</v>
      </c>
      <c r="I7" s="439"/>
      <c r="J7" s="439"/>
      <c r="K7" s="439"/>
      <c r="L7" s="439"/>
      <c r="M7" s="439"/>
      <c r="N7" s="439"/>
      <c r="O7" s="318"/>
      <c r="P7" s="318"/>
      <c r="Q7" s="318"/>
      <c r="R7" s="318"/>
      <c r="S7" s="318"/>
    </row>
    <row r="8" spans="1:26" ht="43.5" customHeight="1" x14ac:dyDescent="0.25">
      <c r="B8" s="62"/>
      <c r="C8" s="219" t="s">
        <v>1033</v>
      </c>
      <c r="D8" s="219" t="s">
        <v>1034</v>
      </c>
      <c r="E8" s="219" t="s">
        <v>1035</v>
      </c>
      <c r="F8" s="219" t="s">
        <v>1036</v>
      </c>
      <c r="G8" s="64"/>
      <c r="H8" s="62"/>
      <c r="I8" s="219" t="s">
        <v>1037</v>
      </c>
      <c r="J8" s="63" t="s">
        <v>1038</v>
      </c>
      <c r="K8" s="63" t="s">
        <v>1039</v>
      </c>
      <c r="L8" s="63" t="s">
        <v>1040</v>
      </c>
      <c r="M8" s="219" t="s">
        <v>1041</v>
      </c>
      <c r="N8" s="219" t="s">
        <v>1271</v>
      </c>
      <c r="O8" s="64"/>
      <c r="P8" s="64"/>
      <c r="Q8" s="64"/>
      <c r="R8" s="64"/>
      <c r="S8" s="64"/>
      <c r="T8" s="64"/>
    </row>
    <row r="9" spans="1:26" ht="20.100000000000001" customHeight="1" x14ac:dyDescent="0.25">
      <c r="B9" s="307"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7"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4" t="e" cm="1">
        <f t="array" ref="M9">SUM(SUMIFS('capacity data'!F:F, 'capacity data'!E:E, {"PO","PSO"},'capacity data'!F:F, "&lt;&gt;0", 'capacity data'!A:A, B5)) / SUM(COUNTIFS('capacity data'!E:E, {"PO","PSO"},'capacity data'!F:F, "&lt;&gt;0",'capacity data'!A:A, B5))</f>
        <v>#DIV/0!</v>
      </c>
      <c r="N9" s="312" t="e">
        <f>W4/W6</f>
        <v>#DIV/0!</v>
      </c>
      <c r="O9" s="64"/>
      <c r="P9" s="64"/>
      <c r="Q9" s="64"/>
      <c r="R9" s="64"/>
      <c r="S9" s="64"/>
      <c r="T9" s="64"/>
    </row>
    <row r="10" spans="1:26" ht="18" customHeight="1" x14ac:dyDescent="0.25">
      <c r="B10" s="229" t="s">
        <v>1042</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1042</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4" t="e" cm="1">
        <f t="array" ref="M10">SUM(SUMIFS('capacity data'!F:F,'capacity data'!E:E,{"PO","PSO"},'capacity data'!F:F,"&lt;&gt;0"))/SUM(COUNTIFS('capacity data'!E:E,{"PO","PSO"},'capacity data'!F:F,"&lt;&gt;0"))</f>
        <v>#DIV/0!</v>
      </c>
      <c r="N10" s="312" t="e">
        <f>Z4/Z6</f>
        <v>#DIV/0!</v>
      </c>
      <c r="O10" s="64"/>
      <c r="P10" s="64"/>
      <c r="Q10" s="64"/>
      <c r="R10" s="64"/>
      <c r="S10" s="64"/>
      <c r="T10" s="64"/>
    </row>
    <row r="11" spans="1:26" ht="17.100000000000001" customHeight="1" x14ac:dyDescent="0.25">
      <c r="B11" s="68" t="s">
        <v>968</v>
      </c>
      <c r="C11" s="235" t="e">
        <f>C9-C10</f>
        <v>#DIV/0!</v>
      </c>
      <c r="D11" s="235" t="e">
        <f t="shared" ref="D11:F11" si="0">D9-D10</f>
        <v>#DIV/0!</v>
      </c>
      <c r="E11" s="235" t="e">
        <f t="shared" si="0"/>
        <v>#DIV/0!</v>
      </c>
      <c r="F11" s="235" t="e">
        <f t="shared" si="0"/>
        <v>#DIV/0!</v>
      </c>
      <c r="G11" s="64"/>
      <c r="H11" s="68" t="s">
        <v>968</v>
      </c>
      <c r="I11" s="102" t="e">
        <f>I9-I10</f>
        <v>#DIV/0!</v>
      </c>
      <c r="J11" s="102" t="e">
        <f t="shared" ref="J11:K11" si="1">J9-J10</f>
        <v>#DIV/0!</v>
      </c>
      <c r="K11" s="102" t="e">
        <f t="shared" si="1"/>
        <v>#DIV/0!</v>
      </c>
      <c r="L11" s="102" t="e">
        <f>L9-L10</f>
        <v>#DIV/0!</v>
      </c>
      <c r="M11" s="102" t="e">
        <f>M9-M10</f>
        <v>#DIV/0!</v>
      </c>
      <c r="N11" s="313" t="e">
        <f>N9-N10</f>
        <v>#DIV/0!</v>
      </c>
      <c r="O11" s="64"/>
      <c r="P11" s="64"/>
      <c r="Q11" s="64"/>
      <c r="R11" s="64"/>
      <c r="S11" s="64"/>
      <c r="T11" s="64"/>
    </row>
    <row r="12" spans="1:26" ht="17.100000000000001" customHeight="1" x14ac:dyDescent="0.25">
      <c r="B12" s="64"/>
      <c r="C12" s="64"/>
      <c r="D12" s="238"/>
      <c r="E12" s="238"/>
      <c r="F12" s="238"/>
      <c r="G12" s="64"/>
      <c r="H12" s="64"/>
      <c r="I12" s="64"/>
      <c r="J12" s="64"/>
      <c r="K12" s="64"/>
      <c r="L12" s="64"/>
      <c r="M12" s="64"/>
      <c r="N12" s="64"/>
      <c r="O12" s="64"/>
      <c r="P12" s="64"/>
      <c r="Q12" s="64"/>
      <c r="R12" s="64"/>
      <c r="S12" s="238"/>
      <c r="T12" s="238"/>
      <c r="U12" s="238"/>
      <c r="V12" s="238"/>
    </row>
    <row r="13" spans="1:26" ht="17.100000000000001" customHeight="1" x14ac:dyDescent="0.25">
      <c r="B13" s="64"/>
      <c r="C13" s="64"/>
      <c r="D13" s="238"/>
      <c r="E13" s="238"/>
      <c r="F13" s="238"/>
      <c r="G13" s="64"/>
      <c r="H13" s="64"/>
      <c r="I13" s="64"/>
      <c r="J13" s="64"/>
      <c r="K13" s="64"/>
      <c r="L13" s="64"/>
      <c r="M13" s="64"/>
      <c r="N13" s="64"/>
      <c r="O13" s="64"/>
      <c r="P13" s="64"/>
      <c r="Q13" s="64"/>
      <c r="R13" s="64"/>
      <c r="S13" s="238"/>
      <c r="T13" s="238"/>
      <c r="U13" s="238"/>
      <c r="V13" s="238"/>
    </row>
    <row r="14" spans="1:26" ht="24.95" customHeight="1" x14ac:dyDescent="0.25">
      <c r="B14" s="298" t="s">
        <v>1043</v>
      </c>
      <c r="C14" s="296"/>
      <c r="D14" s="296"/>
      <c r="E14" s="296"/>
      <c r="F14" s="295"/>
      <c r="G14" s="64"/>
      <c r="H14" s="64"/>
      <c r="I14" s="64"/>
      <c r="J14" s="238"/>
      <c r="K14" s="238"/>
      <c r="L14" s="238"/>
      <c r="M14" s="238"/>
      <c r="N14" s="238"/>
      <c r="O14" s="64"/>
      <c r="P14" s="64"/>
      <c r="Q14" s="64"/>
      <c r="R14" s="238"/>
      <c r="S14" s="238"/>
      <c r="T14" s="238"/>
      <c r="U14" s="238"/>
      <c r="V14" s="238"/>
    </row>
    <row r="15" spans="1:26" ht="39.6" customHeight="1" x14ac:dyDescent="0.25">
      <c r="B15" s="62"/>
      <c r="C15" s="219" t="s">
        <v>1033</v>
      </c>
      <c r="D15" s="219" t="s">
        <v>1034</v>
      </c>
      <c r="E15" s="219" t="s">
        <v>1035</v>
      </c>
      <c r="F15" s="219" t="s">
        <v>1036</v>
      </c>
      <c r="G15" s="64"/>
      <c r="H15" s="438" t="s">
        <v>1044</v>
      </c>
      <c r="I15" s="439"/>
      <c r="J15" s="439"/>
      <c r="K15" s="439"/>
      <c r="L15" s="439"/>
      <c r="M15" s="439"/>
      <c r="N15" s="238"/>
      <c r="O15" s="64"/>
      <c r="P15" s="64"/>
      <c r="Q15" s="64"/>
      <c r="R15" s="238"/>
      <c r="S15" s="238"/>
      <c r="T15" s="238"/>
      <c r="U15" s="238"/>
      <c r="V15" s="238"/>
    </row>
    <row r="16" spans="1:26" ht="17.100000000000001" customHeight="1" x14ac:dyDescent="0.25">
      <c r="B16" s="307"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8" t="str">
        <f>B5</f>
        <v>London</v>
      </c>
      <c r="I16" s="219" t="s">
        <v>1015</v>
      </c>
      <c r="J16" s="219" t="s">
        <v>1014</v>
      </c>
      <c r="K16" s="219" t="s">
        <v>1013</v>
      </c>
      <c r="L16" s="219" t="s">
        <v>1371</v>
      </c>
      <c r="M16" s="219" t="s">
        <v>1016</v>
      </c>
      <c r="N16" s="238"/>
      <c r="O16" s="238"/>
      <c r="P16" s="64"/>
      <c r="Q16" s="64"/>
      <c r="R16" s="64"/>
      <c r="S16" s="238"/>
      <c r="T16" s="238"/>
      <c r="U16" s="238"/>
      <c r="V16" s="238"/>
      <c r="W16" s="238"/>
    </row>
    <row r="17" spans="2:23" ht="17.100000000000001" customHeight="1" x14ac:dyDescent="0.25">
      <c r="B17" s="229" t="s">
        <v>1042</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1045</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100000000000001" customHeight="1" x14ac:dyDescent="0.25">
      <c r="B18" s="68" t="s">
        <v>968</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100000000000001" customHeight="1" x14ac:dyDescent="0.25">
      <c r="B19" s="64"/>
      <c r="C19" s="238"/>
      <c r="D19" s="64"/>
      <c r="E19" s="64"/>
      <c r="F19" s="64"/>
      <c r="G19" s="64"/>
      <c r="H19" s="64"/>
      <c r="I19" s="64"/>
      <c r="J19" s="64"/>
      <c r="K19" s="64"/>
      <c r="L19" s="64"/>
      <c r="M19" s="64"/>
      <c r="N19" s="64"/>
      <c r="O19" s="64"/>
      <c r="P19" s="64"/>
      <c r="Q19" s="64"/>
      <c r="R19" s="238"/>
      <c r="S19" s="238"/>
      <c r="T19" s="238"/>
      <c r="U19" s="238"/>
      <c r="V19" s="238"/>
    </row>
    <row r="20" spans="2:23" ht="32.1" customHeight="1" x14ac:dyDescent="0.25">
      <c r="B20" s="298" t="s">
        <v>1046</v>
      </c>
      <c r="C20" s="296"/>
      <c r="D20" s="296"/>
      <c r="E20" s="296"/>
      <c r="F20" s="295"/>
      <c r="G20" s="64"/>
      <c r="H20" s="297"/>
      <c r="I20" s="64"/>
      <c r="J20" s="64"/>
      <c r="K20" s="64"/>
      <c r="L20" s="64"/>
      <c r="M20" s="64"/>
      <c r="N20" s="64"/>
      <c r="O20" s="64"/>
      <c r="P20" s="64"/>
      <c r="Q20" s="64"/>
      <c r="R20" s="64"/>
      <c r="S20" s="64"/>
      <c r="T20" s="64"/>
    </row>
    <row r="21" spans="2:23" ht="43.5" customHeight="1" x14ac:dyDescent="0.25">
      <c r="B21" s="62"/>
      <c r="C21" s="219" t="s">
        <v>1033</v>
      </c>
      <c r="D21" s="219" t="s">
        <v>1034</v>
      </c>
      <c r="E21" s="219" t="s">
        <v>1035</v>
      </c>
      <c r="F21" s="219" t="s">
        <v>1036</v>
      </c>
      <c r="G21" s="64"/>
      <c r="H21" s="64"/>
      <c r="I21" s="64"/>
      <c r="J21" s="64"/>
      <c r="K21" s="64"/>
      <c r="L21" s="64"/>
      <c r="M21" s="64"/>
      <c r="N21" s="64"/>
      <c r="O21" s="64"/>
      <c r="P21" s="64"/>
      <c r="Q21" s="64"/>
      <c r="R21" s="64"/>
      <c r="S21" s="64"/>
      <c r="T21" s="64"/>
    </row>
    <row r="22" spans="2:23" ht="15" customHeight="1" x14ac:dyDescent="0.25">
      <c r="B22" s="307"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25">
      <c r="B23" s="229" t="s">
        <v>1042</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25">
      <c r="B24" s="68" t="s">
        <v>968</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25">
      <c r="B25" s="64"/>
      <c r="C25" s="64"/>
      <c r="D25" s="64"/>
      <c r="E25" s="64"/>
      <c r="F25" s="64"/>
      <c r="G25" s="64"/>
      <c r="H25" s="64"/>
      <c r="I25" s="64"/>
      <c r="J25" s="238"/>
      <c r="K25" s="238"/>
      <c r="L25" s="238"/>
      <c r="M25" s="238"/>
      <c r="N25" s="238"/>
      <c r="O25" s="64"/>
      <c r="P25" s="64"/>
      <c r="Q25" s="64"/>
      <c r="R25" s="64"/>
      <c r="S25" s="64"/>
      <c r="T25" s="64"/>
    </row>
    <row r="26" spans="2:23" ht="28.5" customHeight="1" x14ac:dyDescent="0.25">
      <c r="B26" s="298" t="s">
        <v>1047</v>
      </c>
      <c r="C26" s="296"/>
      <c r="D26" s="296"/>
      <c r="E26" s="296"/>
      <c r="F26" s="295"/>
      <c r="G26" s="64"/>
      <c r="H26" s="64"/>
      <c r="I26" s="64"/>
      <c r="J26" s="238"/>
      <c r="K26" s="238"/>
      <c r="L26" s="238"/>
      <c r="M26" s="238"/>
      <c r="N26" s="238"/>
      <c r="O26" s="64"/>
      <c r="P26" s="64"/>
      <c r="Q26" s="64"/>
      <c r="R26" s="64"/>
      <c r="S26" s="64"/>
      <c r="T26" s="64"/>
    </row>
    <row r="27" spans="2:23" ht="48.95" customHeight="1" x14ac:dyDescent="0.25">
      <c r="B27" s="307" t="str">
        <f>B5</f>
        <v>London</v>
      </c>
      <c r="C27" s="219" t="s">
        <v>1033</v>
      </c>
      <c r="D27" s="219" t="s">
        <v>1034</v>
      </c>
      <c r="E27" s="219" t="s">
        <v>1035</v>
      </c>
      <c r="F27" s="219" t="s">
        <v>1036</v>
      </c>
      <c r="G27" s="64"/>
      <c r="H27" s="64"/>
      <c r="I27" s="64"/>
      <c r="J27" s="238"/>
      <c r="K27" s="238"/>
      <c r="L27" s="238"/>
      <c r="M27" s="238"/>
      <c r="N27" s="238"/>
      <c r="O27" s="64"/>
      <c r="P27" s="64"/>
      <c r="Q27" s="64"/>
      <c r="R27" s="64"/>
      <c r="S27" s="64"/>
      <c r="T27" s="64"/>
    </row>
    <row r="28" spans="2:23" ht="15" customHeight="1" x14ac:dyDescent="0.2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25">
      <c r="B29" s="229" t="s">
        <v>1042</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25">
      <c r="B30" s="68" t="s">
        <v>968</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25">
      <c r="B31" s="64"/>
      <c r="C31" s="64"/>
      <c r="D31" s="64"/>
      <c r="E31" s="64"/>
      <c r="F31" s="64"/>
      <c r="G31" s="64"/>
      <c r="H31" s="64"/>
      <c r="I31" s="64"/>
      <c r="J31" s="238"/>
      <c r="K31" s="238"/>
      <c r="L31" s="238"/>
      <c r="M31" s="238"/>
      <c r="N31" s="238"/>
      <c r="O31" s="64"/>
      <c r="P31" s="64"/>
      <c r="Q31" s="64"/>
      <c r="R31" s="64"/>
      <c r="S31" s="64"/>
      <c r="T31" s="64"/>
    </row>
    <row r="32" spans="2:23" ht="15" customHeight="1" x14ac:dyDescent="0.25">
      <c r="B32" s="64"/>
      <c r="C32" s="64"/>
      <c r="D32" s="64"/>
      <c r="E32" s="64"/>
      <c r="F32" s="64"/>
      <c r="G32" s="64"/>
      <c r="H32" s="64"/>
      <c r="I32" s="64"/>
      <c r="J32" s="238"/>
      <c r="K32" s="238"/>
      <c r="L32" s="238"/>
      <c r="M32" s="238"/>
      <c r="N32" s="238"/>
      <c r="O32" s="64"/>
      <c r="P32" s="64"/>
      <c r="Q32" s="64"/>
      <c r="R32" s="64"/>
      <c r="S32" s="64"/>
      <c r="T32" s="64"/>
    </row>
    <row r="33" spans="2:20" ht="15.6" customHeight="1" x14ac:dyDescent="0.25">
      <c r="B33" s="64"/>
      <c r="C33" s="64"/>
      <c r="D33" s="64"/>
      <c r="E33" s="64"/>
      <c r="F33" s="64"/>
      <c r="G33" s="64"/>
      <c r="H33" s="64"/>
      <c r="I33" s="64"/>
      <c r="J33" s="64"/>
      <c r="K33" s="64"/>
      <c r="L33" s="64"/>
      <c r="M33" s="64"/>
      <c r="N33" s="64"/>
      <c r="O33" s="64"/>
      <c r="P33" s="64"/>
      <c r="Q33" s="64"/>
      <c r="R33" s="64"/>
      <c r="S33" s="64"/>
      <c r="T33" s="64"/>
    </row>
    <row r="34" spans="2:20" ht="29.25" customHeight="1" x14ac:dyDescent="0.25">
      <c r="B34" s="375" t="str">
        <f>B5</f>
        <v>London</v>
      </c>
      <c r="C34" s="436" t="s">
        <v>1029</v>
      </c>
      <c r="D34" s="437"/>
      <c r="E34" s="437"/>
      <c r="F34" s="437"/>
      <c r="G34" s="437"/>
      <c r="H34" s="437"/>
      <c r="I34" s="437"/>
      <c r="J34" s="437"/>
      <c r="K34" s="437"/>
      <c r="L34" s="437"/>
      <c r="M34" s="437"/>
      <c r="N34" s="437"/>
      <c r="O34" s="437"/>
      <c r="P34" s="437"/>
      <c r="Q34" s="437"/>
      <c r="R34" s="437"/>
      <c r="S34" s="437"/>
      <c r="T34" s="437"/>
    </row>
    <row r="35" spans="2:20" x14ac:dyDescent="0.25">
      <c r="B35" s="376" t="s">
        <v>1023</v>
      </c>
      <c r="C35" s="289" t="s">
        <v>879</v>
      </c>
      <c r="D35" s="289" t="s">
        <v>880</v>
      </c>
      <c r="E35" s="289" t="s">
        <v>881</v>
      </c>
      <c r="F35" s="289" t="s">
        <v>882</v>
      </c>
      <c r="G35" s="289" t="s">
        <v>883</v>
      </c>
      <c r="H35" s="289" t="s">
        <v>884</v>
      </c>
      <c r="I35" s="289" t="s">
        <v>885</v>
      </c>
      <c r="J35" s="289" t="s">
        <v>886</v>
      </c>
      <c r="K35" s="289" t="s">
        <v>887</v>
      </c>
      <c r="L35" s="289" t="s">
        <v>888</v>
      </c>
      <c r="M35" s="289" t="s">
        <v>889</v>
      </c>
      <c r="N35" s="289" t="s">
        <v>890</v>
      </c>
      <c r="O35" s="289" t="s">
        <v>891</v>
      </c>
      <c r="P35" s="289" t="s">
        <v>892</v>
      </c>
      <c r="Q35" s="289" t="s">
        <v>893</v>
      </c>
      <c r="R35" s="289" t="s">
        <v>894</v>
      </c>
      <c r="S35" s="289" t="s">
        <v>1048</v>
      </c>
      <c r="T35" s="289" t="s">
        <v>981</v>
      </c>
    </row>
    <row r="36" spans="2:20" x14ac:dyDescent="0.25">
      <c r="B36" s="373" t="s">
        <v>1019</v>
      </c>
      <c r="C36" s="374">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25">
      <c r="B37" s="373" t="s">
        <v>1024</v>
      </c>
      <c r="C37" s="374">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25">
      <c r="B38" s="373" t="s">
        <v>1025</v>
      </c>
      <c r="C38" s="374">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25">
      <c r="B39" s="373" t="s">
        <v>1026</v>
      </c>
      <c r="C39" s="374">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25">
      <c r="B40" s="144" t="s">
        <v>1370</v>
      </c>
      <c r="C40" s="374">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2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25">
      <c r="B42" s="375" t="str">
        <f>B5</f>
        <v>London</v>
      </c>
      <c r="C42" s="436" t="s">
        <v>1049</v>
      </c>
      <c r="D42" s="437"/>
      <c r="E42" s="437"/>
      <c r="F42" s="437"/>
      <c r="G42" s="437"/>
      <c r="H42" s="437"/>
      <c r="I42" s="437"/>
      <c r="J42" s="437"/>
      <c r="K42" s="437"/>
      <c r="L42" s="437"/>
      <c r="M42" s="437"/>
      <c r="N42" s="437"/>
      <c r="O42" s="437"/>
      <c r="P42" s="437"/>
      <c r="Q42" s="437"/>
      <c r="R42" s="437"/>
      <c r="S42" s="437"/>
      <c r="T42" s="437"/>
    </row>
    <row r="43" spans="2:20" x14ac:dyDescent="0.25">
      <c r="B43" s="376" t="s">
        <v>1023</v>
      </c>
      <c r="C43" s="289" t="s">
        <v>879</v>
      </c>
      <c r="D43" s="289" t="s">
        <v>880</v>
      </c>
      <c r="E43" s="289" t="s">
        <v>881</v>
      </c>
      <c r="F43" s="289" t="s">
        <v>882</v>
      </c>
      <c r="G43" s="289" t="s">
        <v>883</v>
      </c>
      <c r="H43" s="289" t="s">
        <v>884</v>
      </c>
      <c r="I43" s="289" t="s">
        <v>885</v>
      </c>
      <c r="J43" s="289" t="s">
        <v>886</v>
      </c>
      <c r="K43" s="289" t="s">
        <v>887</v>
      </c>
      <c r="L43" s="289" t="s">
        <v>888</v>
      </c>
      <c r="M43" s="289" t="s">
        <v>889</v>
      </c>
      <c r="N43" s="289" t="s">
        <v>890</v>
      </c>
      <c r="O43" s="289" t="s">
        <v>891</v>
      </c>
      <c r="P43" s="289" t="s">
        <v>892</v>
      </c>
      <c r="Q43" s="289" t="s">
        <v>893</v>
      </c>
      <c r="R43" s="289" t="s">
        <v>894</v>
      </c>
      <c r="S43" s="289" t="s">
        <v>1048</v>
      </c>
      <c r="T43" s="289" t="s">
        <v>981</v>
      </c>
    </row>
    <row r="44" spans="2:20" x14ac:dyDescent="0.25">
      <c r="B44" s="373" t="s">
        <v>1019</v>
      </c>
      <c r="C44" s="374">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25">
      <c r="B45" s="373" t="s">
        <v>1024</v>
      </c>
      <c r="C45" s="374">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25">
      <c r="B46" s="373" t="s">
        <v>1025</v>
      </c>
      <c r="C46" s="374">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25">
      <c r="B47" s="373" t="s">
        <v>1026</v>
      </c>
      <c r="C47" s="374">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25">
      <c r="B48" s="144" t="s">
        <v>1370</v>
      </c>
      <c r="C48" s="374">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2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25">
      <c r="B50" s="299" t="str">
        <f>B5</f>
        <v>London</v>
      </c>
      <c r="C50" s="436" t="s">
        <v>1050</v>
      </c>
      <c r="D50" s="437"/>
      <c r="E50" s="437"/>
      <c r="F50" s="437"/>
      <c r="G50" s="437"/>
      <c r="H50" s="437"/>
      <c r="I50" s="437"/>
      <c r="J50" s="437"/>
      <c r="K50" s="437"/>
      <c r="L50" s="437"/>
      <c r="M50" s="437"/>
      <c r="N50" s="437"/>
      <c r="O50" s="437"/>
      <c r="P50" s="437"/>
      <c r="Q50" s="437"/>
      <c r="R50" s="437"/>
      <c r="S50" s="437"/>
      <c r="T50" s="437"/>
    </row>
    <row r="51" spans="2:20" x14ac:dyDescent="0.25">
      <c r="B51" s="95" t="s">
        <v>1023</v>
      </c>
      <c r="C51" s="289" t="s">
        <v>879</v>
      </c>
      <c r="D51" s="289" t="s">
        <v>880</v>
      </c>
      <c r="E51" s="289" t="s">
        <v>881</v>
      </c>
      <c r="F51" s="289" t="s">
        <v>882</v>
      </c>
      <c r="G51" s="289" t="s">
        <v>883</v>
      </c>
      <c r="H51" s="289" t="s">
        <v>884</v>
      </c>
      <c r="I51" s="289" t="s">
        <v>885</v>
      </c>
      <c r="J51" s="289" t="s">
        <v>886</v>
      </c>
      <c r="K51" s="289" t="s">
        <v>887</v>
      </c>
      <c r="L51" s="289" t="s">
        <v>888</v>
      </c>
      <c r="M51" s="289" t="s">
        <v>889</v>
      </c>
      <c r="N51" s="289" t="s">
        <v>890</v>
      </c>
      <c r="O51" s="289" t="s">
        <v>891</v>
      </c>
      <c r="P51" s="289" t="s">
        <v>892</v>
      </c>
      <c r="Q51" s="289" t="s">
        <v>893</v>
      </c>
      <c r="R51" s="289" t="s">
        <v>894</v>
      </c>
      <c r="S51" s="289" t="s">
        <v>1048</v>
      </c>
      <c r="T51" s="289" t="s">
        <v>981</v>
      </c>
    </row>
    <row r="52" spans="2:20" x14ac:dyDescent="0.25">
      <c r="B52" s="373" t="s">
        <v>1019</v>
      </c>
      <c r="C52" s="374">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25">
      <c r="B53" s="373" t="s">
        <v>1024</v>
      </c>
      <c r="C53" s="374">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25">
      <c r="B54" s="373" t="s">
        <v>1025</v>
      </c>
      <c r="C54" s="374">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6" customHeight="1" x14ac:dyDescent="0.25">
      <c r="B55" s="373" t="s">
        <v>1026</v>
      </c>
      <c r="C55" s="374">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25">
      <c r="B56" s="144" t="s">
        <v>1370</v>
      </c>
      <c r="C56" s="374">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6" customHeight="1" x14ac:dyDescent="0.2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25">
      <c r="B58" s="299" t="str">
        <f>B5</f>
        <v>London</v>
      </c>
      <c r="C58" s="436" t="s">
        <v>1051</v>
      </c>
      <c r="D58" s="437"/>
      <c r="E58" s="437"/>
      <c r="F58" s="437"/>
      <c r="G58" s="437"/>
      <c r="H58" s="437"/>
      <c r="I58" s="437"/>
      <c r="J58" s="437"/>
      <c r="K58" s="437"/>
      <c r="L58" s="437"/>
      <c r="M58" s="437"/>
      <c r="N58" s="437"/>
      <c r="O58" s="437"/>
      <c r="P58" s="437"/>
      <c r="Q58" s="437"/>
      <c r="R58" s="437"/>
      <c r="S58" s="437"/>
      <c r="T58" s="437"/>
    </row>
    <row r="59" spans="2:20" x14ac:dyDescent="0.25">
      <c r="B59" s="95" t="s">
        <v>1023</v>
      </c>
      <c r="C59" s="289" t="s">
        <v>879</v>
      </c>
      <c r="D59" s="289" t="s">
        <v>880</v>
      </c>
      <c r="E59" s="289" t="s">
        <v>881</v>
      </c>
      <c r="F59" s="289" t="s">
        <v>882</v>
      </c>
      <c r="G59" s="289" t="s">
        <v>883</v>
      </c>
      <c r="H59" s="289" t="s">
        <v>884</v>
      </c>
      <c r="I59" s="289" t="s">
        <v>885</v>
      </c>
      <c r="J59" s="289" t="s">
        <v>886</v>
      </c>
      <c r="K59" s="289" t="s">
        <v>887</v>
      </c>
      <c r="L59" s="289" t="s">
        <v>888</v>
      </c>
      <c r="M59" s="289" t="s">
        <v>889</v>
      </c>
      <c r="N59" s="289" t="s">
        <v>890</v>
      </c>
      <c r="O59" s="289" t="s">
        <v>891</v>
      </c>
      <c r="P59" s="289" t="s">
        <v>892</v>
      </c>
      <c r="Q59" s="289" t="s">
        <v>893</v>
      </c>
      <c r="R59" s="289" t="s">
        <v>894</v>
      </c>
      <c r="S59" s="289" t="s">
        <v>1048</v>
      </c>
      <c r="T59" s="289" t="s">
        <v>981</v>
      </c>
    </row>
    <row r="60" spans="2:20" x14ac:dyDescent="0.25">
      <c r="B60" s="372" t="s">
        <v>1019</v>
      </c>
      <c r="C60" s="374">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25">
      <c r="B61" s="373" t="s">
        <v>1024</v>
      </c>
      <c r="C61" s="374">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25">
      <c r="B62" s="373" t="s">
        <v>1025</v>
      </c>
      <c r="C62" s="374">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25">
      <c r="B63" s="373" t="s">
        <v>1026</v>
      </c>
      <c r="C63" s="374">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25">
      <c r="B64" s="144" t="s">
        <v>1370</v>
      </c>
      <c r="C64" s="374">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25">
      <c r="B65" s="171"/>
      <c r="C65" s="237"/>
      <c r="D65" s="237"/>
      <c r="E65" s="237"/>
      <c r="F65" s="237"/>
      <c r="G65" s="237"/>
      <c r="H65" s="237"/>
      <c r="I65" s="237"/>
      <c r="J65" s="237"/>
      <c r="K65" s="237"/>
      <c r="L65" s="237"/>
      <c r="M65" s="237"/>
      <c r="N65" s="237"/>
      <c r="O65" s="237"/>
      <c r="P65" s="237"/>
      <c r="Q65" s="237"/>
      <c r="R65" s="237"/>
      <c r="S65" s="237"/>
      <c r="T65" s="64"/>
    </row>
    <row r="66" spans="2:20" x14ac:dyDescent="0.25">
      <c r="B66" s="64"/>
      <c r="C66" s="64"/>
      <c r="D66" s="64"/>
      <c r="E66" s="64"/>
      <c r="F66" s="64"/>
      <c r="G66" s="64"/>
      <c r="H66" s="64"/>
      <c r="I66" s="64"/>
      <c r="J66" s="64"/>
      <c r="K66" s="64"/>
      <c r="L66" s="64"/>
      <c r="M66" s="64"/>
      <c r="N66" s="64"/>
      <c r="O66" s="64"/>
      <c r="P66" s="64"/>
      <c r="Q66" s="64"/>
      <c r="R66" s="64"/>
      <c r="S66" s="64"/>
      <c r="T66" s="64"/>
    </row>
    <row r="67" spans="2:20" ht="27.75" customHeight="1" x14ac:dyDescent="0.25">
      <c r="B67" s="299" t="str">
        <f>B5</f>
        <v>London</v>
      </c>
      <c r="C67" s="436" t="s">
        <v>1052</v>
      </c>
      <c r="D67" s="437"/>
      <c r="E67" s="437"/>
      <c r="F67" s="437"/>
      <c r="G67" s="437"/>
      <c r="H67" s="437"/>
      <c r="I67" s="437"/>
      <c r="J67" s="437"/>
      <c r="K67" s="437"/>
      <c r="L67" s="437"/>
      <c r="M67" s="437"/>
      <c r="N67" s="437"/>
      <c r="O67" s="437"/>
      <c r="P67" s="437"/>
      <c r="Q67" s="437"/>
      <c r="R67" s="437"/>
      <c r="S67" s="437"/>
      <c r="T67" s="64"/>
    </row>
    <row r="68" spans="2:20" x14ac:dyDescent="0.25">
      <c r="B68" s="95" t="s">
        <v>1023</v>
      </c>
      <c r="C68" s="289" t="s">
        <v>879</v>
      </c>
      <c r="D68" s="289" t="s">
        <v>880</v>
      </c>
      <c r="E68" s="289" t="s">
        <v>881</v>
      </c>
      <c r="F68" s="289" t="s">
        <v>882</v>
      </c>
      <c r="G68" s="289" t="s">
        <v>883</v>
      </c>
      <c r="H68" s="289" t="s">
        <v>884</v>
      </c>
      <c r="I68" s="289" t="s">
        <v>885</v>
      </c>
      <c r="J68" s="289" t="s">
        <v>886</v>
      </c>
      <c r="K68" s="289" t="s">
        <v>887</v>
      </c>
      <c r="L68" s="289" t="s">
        <v>888</v>
      </c>
      <c r="M68" s="289" t="s">
        <v>889</v>
      </c>
      <c r="N68" s="289" t="s">
        <v>890</v>
      </c>
      <c r="O68" s="289" t="s">
        <v>891</v>
      </c>
      <c r="P68" s="289" t="s">
        <v>892</v>
      </c>
      <c r="Q68" s="289" t="s">
        <v>893</v>
      </c>
      <c r="R68" s="289" t="s">
        <v>894</v>
      </c>
      <c r="S68" s="289" t="s">
        <v>1048</v>
      </c>
      <c r="T68" s="64"/>
    </row>
    <row r="69" spans="2:20" x14ac:dyDescent="0.25">
      <c r="B69" s="372" t="s">
        <v>1019</v>
      </c>
      <c r="C69" s="377"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25">
      <c r="B70" s="373" t="s">
        <v>1024</v>
      </c>
      <c r="C70" s="377"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25">
      <c r="B71" s="373" t="s">
        <v>1025</v>
      </c>
      <c r="C71" s="377"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25">
      <c r="B72" s="373" t="s">
        <v>1026</v>
      </c>
      <c r="C72" s="377"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25">
      <c r="B73" s="144" t="s">
        <v>1370</v>
      </c>
      <c r="C73" s="377"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8" priority="4" operator="lessThan">
      <formula>0.9</formula>
    </cfRule>
    <cfRule type="cellIs" dxfId="6107" priority="5" operator="greaterThanOrEqual">
      <formula>1.1</formula>
    </cfRule>
  </conditionalFormatting>
  <conditionalFormatting sqref="M9:M10">
    <cfRule type="cellIs" dxfId="6106" priority="3" operator="greaterThan">
      <formula>1.1</formula>
    </cfRule>
  </conditionalFormatting>
  <conditionalFormatting sqref="N9">
    <cfRule type="cellIs" dxfId="6105" priority="2" operator="greaterThan">
      <formula>1.1</formula>
    </cfRule>
  </conditionalFormatting>
  <conditionalFormatting sqref="N10">
    <cfRule type="cellIs" dxfId="6104"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zoomScale="70" zoomScaleNormal="70" workbookViewId="0">
      <selection activeCell="C6" sqref="C6"/>
    </sheetView>
  </sheetViews>
  <sheetFormatPr defaultColWidth="8.85546875" defaultRowHeight="15" x14ac:dyDescent="0.25"/>
  <cols>
    <col min="2" max="2" width="48.85546875" customWidth="1"/>
    <col min="3" max="3" width="19.140625" customWidth="1"/>
    <col min="4" max="4" width="20.42578125" bestFit="1" customWidth="1"/>
    <col min="5" max="5" width="14.85546875" customWidth="1"/>
    <col min="6" max="6" width="17.140625" customWidth="1"/>
    <col min="7" max="7" width="12" customWidth="1"/>
    <col min="8" max="8" width="40.85546875" customWidth="1"/>
    <col min="9" max="9" width="15.42578125" customWidth="1"/>
    <col min="10" max="10" width="20.42578125" customWidth="1"/>
    <col min="11" max="11" width="18.7109375" customWidth="1"/>
    <col min="12" max="12" width="16.85546875" customWidth="1"/>
    <col min="13" max="13" width="17.85546875" bestFit="1" customWidth="1"/>
    <col min="14" max="14" width="17.140625" bestFit="1" customWidth="1"/>
    <col min="17" max="17" width="10" bestFit="1" customWidth="1"/>
    <col min="19" max="19" width="10.42578125" customWidth="1"/>
    <col min="21" max="21" width="11.140625" bestFit="1" customWidth="1"/>
    <col min="22" max="22" width="11.7109375" hidden="1" customWidth="1"/>
    <col min="23" max="23" width="13.140625" hidden="1" customWidth="1"/>
  </cols>
  <sheetData>
    <row r="1" spans="1:23" ht="65.25" customHeight="1" x14ac:dyDescent="0.25">
      <c r="A1" s="440" t="s">
        <v>1053</v>
      </c>
      <c r="B1" s="440"/>
      <c r="C1" s="440"/>
      <c r="D1" s="440"/>
      <c r="E1" s="440"/>
      <c r="F1" s="440"/>
      <c r="G1" s="440"/>
      <c r="H1" s="440"/>
      <c r="I1" s="440"/>
      <c r="J1" s="440"/>
      <c r="K1" s="440"/>
      <c r="L1" s="440"/>
      <c r="M1" s="440"/>
      <c r="N1" s="252"/>
      <c r="O1" s="252"/>
      <c r="P1" s="252"/>
      <c r="Q1" s="252"/>
      <c r="R1" s="252"/>
      <c r="S1" s="252"/>
    </row>
    <row r="2" spans="1:23" ht="37.5" customHeight="1" x14ac:dyDescent="0.25">
      <c r="A2" s="430"/>
      <c r="B2" s="430"/>
      <c r="C2" s="430"/>
      <c r="D2" s="430"/>
      <c r="E2" s="430"/>
      <c r="F2" s="430"/>
      <c r="G2" s="430"/>
      <c r="H2" s="430"/>
      <c r="I2" s="430"/>
      <c r="J2" s="430"/>
      <c r="K2" s="430"/>
      <c r="L2" s="430"/>
      <c r="M2" s="430"/>
      <c r="N2" s="241"/>
      <c r="O2" s="241"/>
      <c r="P2" s="241"/>
      <c r="Q2" s="241"/>
      <c r="R2" s="241"/>
      <c r="S2" s="241"/>
    </row>
    <row r="4" spans="1:23" ht="33" customHeight="1" x14ac:dyDescent="0.25">
      <c r="B4" s="303" t="s">
        <v>1054</v>
      </c>
    </row>
    <row r="5" spans="1:23" ht="35.25" customHeight="1" x14ac:dyDescent="0.25">
      <c r="B5" s="242" t="s">
        <v>21</v>
      </c>
      <c r="F5" s="40"/>
      <c r="L5" s="40"/>
      <c r="V5" s="310" t="s">
        <v>1272</v>
      </c>
      <c r="W5" s="310" cm="1">
        <f t="array" ref="W5">SUM(SUMIFS('capacity data'!K:K,'capacity data'!B:B,B6,'capacity data'!E:E,{"PO","PSO"}))</f>
        <v>0</v>
      </c>
    </row>
    <row r="6" spans="1:23" ht="39.75" customHeight="1" x14ac:dyDescent="0.25">
      <c r="B6" s="301" t="s">
        <v>220</v>
      </c>
      <c r="V6" s="311" t="s">
        <v>1273</v>
      </c>
      <c r="W6" s="310" cm="1">
        <f t="array" ref="W6">SUM(SUMIFS('capacity data'!I:I,'capacity data'!B:B,B6,'capacity data'!E:E,{"PO","PSO"}))-SUM((SUMIFS('capacity data'!J:J,'capacity data'!B:B,B6,'capacity data'!E:E,{"PO","PSO"})))</f>
        <v>0</v>
      </c>
    </row>
    <row r="7" spans="1:23" ht="24" customHeight="1" x14ac:dyDescent="0.25">
      <c r="V7" s="310" t="s">
        <v>1274</v>
      </c>
      <c r="W7" s="310">
        <f>W6/37</f>
        <v>0</v>
      </c>
    </row>
    <row r="8" spans="1:23" x14ac:dyDescent="0.25">
      <c r="F8" s="238"/>
    </row>
    <row r="9" spans="1:23" ht="23.25" x14ac:dyDescent="0.25">
      <c r="B9" s="285" t="s">
        <v>1031</v>
      </c>
      <c r="C9" s="286"/>
      <c r="D9" s="286"/>
      <c r="E9" s="286"/>
      <c r="F9" s="287"/>
      <c r="H9" s="443" t="s">
        <v>1055</v>
      </c>
      <c r="I9" s="444"/>
      <c r="J9" s="444"/>
      <c r="K9" s="444"/>
      <c r="L9" s="444"/>
      <c r="M9" s="444"/>
      <c r="N9" s="444"/>
    </row>
    <row r="10" spans="1:23" ht="51" customHeight="1" x14ac:dyDescent="0.25">
      <c r="B10" s="62"/>
      <c r="C10" s="219" t="s">
        <v>1033</v>
      </c>
      <c r="D10" s="219" t="s">
        <v>1034</v>
      </c>
      <c r="E10" s="219" t="s">
        <v>1035</v>
      </c>
      <c r="F10" s="219" t="s">
        <v>1056</v>
      </c>
      <c r="H10" s="62"/>
      <c r="I10" s="219" t="s">
        <v>1037</v>
      </c>
      <c r="J10" s="63" t="s">
        <v>1038</v>
      </c>
      <c r="K10" s="63" t="s">
        <v>1039</v>
      </c>
      <c r="L10" s="63" t="s">
        <v>1057</v>
      </c>
      <c r="M10" s="219" t="s">
        <v>1041</v>
      </c>
      <c r="N10" s="219" t="s">
        <v>1271</v>
      </c>
    </row>
    <row r="11" spans="1:23" x14ac:dyDescent="0.25">
      <c r="B11" s="300"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300"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4" t="e" cm="1">
        <f t="array" ref="M11">SUM(SUMIFS('capacity data'!F:F, 'capacity data'!E:E, {"PO","PSO"},'capacity data'!F:F, "&lt;&gt;0", 'capacity data'!B:B, B6)) / SUM(COUNTIFS('capacity data'!E:E, {"PO","PSO"},'capacity data'!F:F, "&lt;&gt;0",'capacity data'!B:B, B6))</f>
        <v>#DIV/0!</v>
      </c>
      <c r="N11" s="314" t="e">
        <f>W5/W7</f>
        <v>#DIV/0!</v>
      </c>
    </row>
    <row r="12" spans="1:23" x14ac:dyDescent="0.25">
      <c r="B12" s="229" t="s">
        <v>1042</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1042</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4" t="e" cm="1">
        <f t="array" ref="M12">SUM(SUMIFS('capacity data'!F:F,'capacity data'!E:E,{"PO","PSO"},'capacity data'!F:F,"&lt;&gt;0"))/SUM(COUNTIFS('capacity data'!E:E,{"PO","PSO"},'capacity data'!F:F,"&lt;&gt;0"))</f>
        <v>#DIV/0!</v>
      </c>
      <c r="N12" s="312" t="e">
        <f>'HMIP caseload divisional'!N10</f>
        <v>#DIV/0!</v>
      </c>
    </row>
    <row r="13" spans="1:23" x14ac:dyDescent="0.25">
      <c r="B13" s="68" t="s">
        <v>1058</v>
      </c>
      <c r="C13" s="235" t="e">
        <f>C11-C12</f>
        <v>#DIV/0!</v>
      </c>
      <c r="D13" s="235" t="e">
        <f t="shared" ref="D13:F13" si="0">D11-D12</f>
        <v>#DIV/0!</v>
      </c>
      <c r="E13" s="235" t="e">
        <f t="shared" si="0"/>
        <v>#DIV/0!</v>
      </c>
      <c r="F13" s="235" t="e">
        <f t="shared" si="0"/>
        <v>#DIV/0!</v>
      </c>
      <c r="H13" s="68" t="s">
        <v>1058</v>
      </c>
      <c r="I13" s="102" t="e">
        <f>+I11-I12</f>
        <v>#DIV/0!</v>
      </c>
      <c r="J13" s="102" t="str">
        <f>IFERROR(+J11-J12,"N/A")</f>
        <v>N/A</v>
      </c>
      <c r="K13" s="102" t="str">
        <f>IFERROR(+K11-K12,"N/A")</f>
        <v>N/A</v>
      </c>
      <c r="L13" s="102" t="e">
        <f>+L11-L12</f>
        <v>#DIV/0!</v>
      </c>
      <c r="M13" s="102" t="e">
        <f>(M11-M12)</f>
        <v>#DIV/0!</v>
      </c>
      <c r="N13" s="313" t="e">
        <f>(N11-N12)</f>
        <v>#DIV/0!</v>
      </c>
    </row>
    <row r="14" spans="1:23" x14ac:dyDescent="0.25">
      <c r="C14" s="238"/>
      <c r="D14" s="238"/>
      <c r="E14" s="238"/>
      <c r="F14" s="238"/>
    </row>
    <row r="16" spans="1:23" ht="23.25" x14ac:dyDescent="0.25">
      <c r="B16" s="285" t="s">
        <v>1043</v>
      </c>
      <c r="C16" s="286"/>
      <c r="D16" s="286"/>
      <c r="E16" s="286"/>
      <c r="F16" s="287"/>
      <c r="H16" s="438" t="s">
        <v>1059</v>
      </c>
      <c r="I16" s="439"/>
      <c r="J16" s="439"/>
      <c r="K16" s="439"/>
      <c r="L16" s="439"/>
      <c r="M16" s="439"/>
    </row>
    <row r="17" spans="2:13" ht="50.25" customHeight="1" x14ac:dyDescent="0.25">
      <c r="B17" s="62"/>
      <c r="C17" s="219" t="s">
        <v>1033</v>
      </c>
      <c r="D17" s="219" t="s">
        <v>1034</v>
      </c>
      <c r="E17" s="219" t="s">
        <v>1035</v>
      </c>
      <c r="F17" s="219" t="s">
        <v>1056</v>
      </c>
      <c r="H17" s="300" t="str">
        <f>B6</f>
        <v>Hackney and City</v>
      </c>
      <c r="I17" s="219" t="s">
        <v>1015</v>
      </c>
      <c r="J17" s="219" t="s">
        <v>1014</v>
      </c>
      <c r="K17" s="219" t="s">
        <v>1013</v>
      </c>
      <c r="L17" s="219" t="s">
        <v>1371</v>
      </c>
      <c r="M17" s="219" t="s">
        <v>1016</v>
      </c>
    </row>
    <row r="18" spans="2:13" x14ac:dyDescent="0.25">
      <c r="B18" s="300"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1045</v>
      </c>
      <c r="I18" s="234">
        <f>SUM(T47:T50)</f>
        <v>0</v>
      </c>
      <c r="J18" s="234">
        <f>SUM(T55:T58)</f>
        <v>0</v>
      </c>
      <c r="K18" s="234">
        <f>SUM(T63:T66)</f>
        <v>0</v>
      </c>
      <c r="L18" s="234">
        <f>T43</f>
        <v>0</v>
      </c>
      <c r="M18" s="234">
        <f>SUM(I18:L18)</f>
        <v>0</v>
      </c>
    </row>
    <row r="19" spans="2:13" x14ac:dyDescent="0.25">
      <c r="B19" s="229" t="s">
        <v>1042</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25">
      <c r="B20" s="68" t="s">
        <v>1058</v>
      </c>
      <c r="C20" s="235" t="e">
        <f>C18-C19</f>
        <v>#DIV/0!</v>
      </c>
      <c r="D20" s="235" t="e">
        <f t="shared" ref="D20:F20" si="1">D18-D19</f>
        <v>#DIV/0!</v>
      </c>
      <c r="E20" s="235" t="e">
        <f t="shared" si="1"/>
        <v>#DIV/0!</v>
      </c>
      <c r="F20" s="235" t="e">
        <f t="shared" si="1"/>
        <v>#DIV/0!</v>
      </c>
    </row>
    <row r="21" spans="2:13" x14ac:dyDescent="0.25">
      <c r="C21" s="238"/>
      <c r="D21" s="238"/>
      <c r="E21" s="238"/>
      <c r="F21" s="238"/>
    </row>
    <row r="22" spans="2:13" ht="23.25" x14ac:dyDescent="0.25">
      <c r="B22" s="281" t="s">
        <v>1046</v>
      </c>
      <c r="C22" s="288"/>
      <c r="D22" s="288"/>
      <c r="E22" s="288"/>
      <c r="F22" s="287"/>
    </row>
    <row r="23" spans="2:13" ht="57.75" customHeight="1" x14ac:dyDescent="0.25">
      <c r="B23" s="62"/>
      <c r="C23" s="219" t="s">
        <v>1033</v>
      </c>
      <c r="D23" s="219" t="s">
        <v>1034</v>
      </c>
      <c r="E23" s="219" t="s">
        <v>1035</v>
      </c>
      <c r="F23" s="219" t="s">
        <v>1056</v>
      </c>
    </row>
    <row r="24" spans="2:13" x14ac:dyDescent="0.25">
      <c r="B24" s="300"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25">
      <c r="B25" s="229" t="s">
        <v>1042</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25">
      <c r="B26" s="68" t="s">
        <v>1058</v>
      </c>
      <c r="C26" s="235" t="e">
        <f>C24-C25</f>
        <v>#DIV/0!</v>
      </c>
      <c r="D26" s="235" t="e">
        <f t="shared" ref="D26:F26" si="2">D24-D25</f>
        <v>#DIV/0!</v>
      </c>
      <c r="E26" s="235" t="e">
        <f t="shared" si="2"/>
        <v>#DIV/0!</v>
      </c>
      <c r="F26" s="235" t="e">
        <f t="shared" si="2"/>
        <v>#DIV/0!</v>
      </c>
    </row>
    <row r="28" spans="2:13" ht="23.25" x14ac:dyDescent="0.25">
      <c r="B28" s="281" t="s">
        <v>1060</v>
      </c>
      <c r="C28" s="288"/>
      <c r="D28" s="288"/>
      <c r="E28" s="288"/>
      <c r="F28" s="287"/>
    </row>
    <row r="29" spans="2:13" ht="54" customHeight="1" x14ac:dyDescent="0.25">
      <c r="B29" s="62"/>
      <c r="C29" s="219" t="s">
        <v>1033</v>
      </c>
      <c r="D29" s="219" t="s">
        <v>1034</v>
      </c>
      <c r="E29" s="219" t="s">
        <v>1035</v>
      </c>
      <c r="F29" s="219" t="s">
        <v>1056</v>
      </c>
    </row>
    <row r="30" spans="2:13" x14ac:dyDescent="0.25">
      <c r="B30" s="300"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25">
      <c r="B31" s="229" t="s">
        <v>1042</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25">
      <c r="B32" s="68" t="s">
        <v>1058</v>
      </c>
      <c r="C32" s="235" t="e">
        <f>C30-C31</f>
        <v>#DIV/0!</v>
      </c>
      <c r="D32" s="235" t="e">
        <f t="shared" ref="D32:F32" si="3">D30-D31</f>
        <v>#DIV/0!</v>
      </c>
      <c r="E32" s="235" t="e">
        <f t="shared" si="3"/>
        <v>#DIV/0!</v>
      </c>
      <c r="F32" s="235" t="e">
        <f t="shared" si="3"/>
        <v>#DIV/0!</v>
      </c>
    </row>
    <row r="33" spans="2:21" x14ac:dyDescent="0.25">
      <c r="B33" s="238"/>
      <c r="C33" s="238"/>
      <c r="D33" s="238"/>
      <c r="E33" s="238"/>
      <c r="F33" s="238"/>
    </row>
    <row r="34" spans="2:21" x14ac:dyDescent="0.25">
      <c r="B34" s="238"/>
      <c r="C34" s="238"/>
      <c r="D34" s="238"/>
      <c r="E34" s="238"/>
      <c r="F34" s="238"/>
    </row>
    <row r="35" spans="2:21" ht="14.25" customHeight="1" x14ac:dyDescent="0.25"/>
    <row r="36" spans="2:21" ht="14.25" customHeight="1" x14ac:dyDescent="0.25"/>
    <row r="37" spans="2:21" ht="42" customHeight="1" x14ac:dyDescent="0.25">
      <c r="B37" s="302" t="str">
        <f>B6</f>
        <v>Hackney and City</v>
      </c>
      <c r="C37" s="442" t="s">
        <v>1061</v>
      </c>
      <c r="D37" s="442"/>
      <c r="E37" s="442"/>
      <c r="F37" s="442"/>
      <c r="G37" s="442"/>
      <c r="H37" s="442"/>
      <c r="I37" s="442"/>
      <c r="J37" s="442"/>
      <c r="K37" s="442"/>
      <c r="L37" s="442"/>
      <c r="M37" s="442"/>
      <c r="N37" s="442"/>
      <c r="O37" s="442"/>
      <c r="P37" s="442"/>
      <c r="Q37" s="442"/>
      <c r="R37" s="442"/>
      <c r="S37" s="442"/>
      <c r="T37" s="442"/>
    </row>
    <row r="38" spans="2:21" ht="19.5" customHeight="1" x14ac:dyDescent="0.25">
      <c r="B38" s="39" t="s">
        <v>1023</v>
      </c>
      <c r="C38" s="39" t="s">
        <v>879</v>
      </c>
      <c r="D38" s="39" t="s">
        <v>880</v>
      </c>
      <c r="E38" s="39" t="s">
        <v>881</v>
      </c>
      <c r="F38" s="39" t="s">
        <v>882</v>
      </c>
      <c r="G38" s="39" t="s">
        <v>883</v>
      </c>
      <c r="H38" s="39" t="s">
        <v>884</v>
      </c>
      <c r="I38" s="39" t="s">
        <v>885</v>
      </c>
      <c r="J38" s="39" t="s">
        <v>886</v>
      </c>
      <c r="K38" s="39" t="s">
        <v>887</v>
      </c>
      <c r="L38" s="39" t="s">
        <v>888</v>
      </c>
      <c r="M38" s="39" t="s">
        <v>889</v>
      </c>
      <c r="N38" s="39" t="s">
        <v>890</v>
      </c>
      <c r="O38" s="39" t="s">
        <v>891</v>
      </c>
      <c r="P38" s="39" t="s">
        <v>892</v>
      </c>
      <c r="Q38" s="39" t="s">
        <v>893</v>
      </c>
      <c r="R38" s="39" t="s">
        <v>894</v>
      </c>
      <c r="S38" s="39" t="s">
        <v>1048</v>
      </c>
      <c r="T38" s="39" t="s">
        <v>981</v>
      </c>
    </row>
    <row r="39" spans="2:21" ht="14.25" customHeight="1" x14ac:dyDescent="0.25">
      <c r="B39" s="75" t="s">
        <v>1019</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25">
      <c r="B40" s="75" t="s">
        <v>1024</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25">
      <c r="B41" s="75" t="s">
        <v>1025</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25">
      <c r="B42" s="75" t="s">
        <v>1026</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25">
      <c r="B43" s="75" t="s">
        <v>1370</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25">
      <c r="B44" s="171"/>
      <c r="C44" s="171"/>
      <c r="D44" s="171"/>
      <c r="E44" s="171"/>
      <c r="F44" s="171"/>
      <c r="G44" s="171"/>
      <c r="H44" s="171"/>
      <c r="I44" s="171"/>
      <c r="J44" s="171"/>
      <c r="K44" s="171"/>
      <c r="L44" s="171"/>
      <c r="M44" s="171"/>
      <c r="N44" s="171"/>
      <c r="O44" s="171"/>
      <c r="P44" s="171"/>
      <c r="Q44" s="171"/>
      <c r="R44" s="171"/>
    </row>
    <row r="45" spans="2:21" ht="36.75" customHeight="1" x14ac:dyDescent="0.25">
      <c r="B45" s="302" t="str">
        <f>$B$6</f>
        <v>Hackney and City</v>
      </c>
      <c r="C45" s="441" t="s">
        <v>1062</v>
      </c>
      <c r="D45" s="437"/>
      <c r="E45" s="437"/>
      <c r="F45" s="437"/>
      <c r="G45" s="437"/>
      <c r="H45" s="437"/>
      <c r="I45" s="437"/>
      <c r="J45" s="437"/>
      <c r="K45" s="437"/>
      <c r="L45" s="437"/>
      <c r="M45" s="437"/>
      <c r="N45" s="437"/>
      <c r="O45" s="437"/>
      <c r="P45" s="437"/>
      <c r="Q45" s="437"/>
      <c r="R45" s="437"/>
      <c r="S45" s="437"/>
      <c r="T45" s="437"/>
    </row>
    <row r="46" spans="2:21" ht="18" customHeight="1" x14ac:dyDescent="0.25">
      <c r="B46" s="95" t="s">
        <v>1023</v>
      </c>
      <c r="C46" s="38" t="s">
        <v>879</v>
      </c>
      <c r="D46" s="38" t="s">
        <v>880</v>
      </c>
      <c r="E46" s="38" t="s">
        <v>881</v>
      </c>
      <c r="F46" s="38" t="s">
        <v>882</v>
      </c>
      <c r="G46" s="38" t="s">
        <v>883</v>
      </c>
      <c r="H46" s="38" t="s">
        <v>884</v>
      </c>
      <c r="I46" s="38" t="s">
        <v>885</v>
      </c>
      <c r="J46" s="38" t="s">
        <v>886</v>
      </c>
      <c r="K46" s="38" t="s">
        <v>887</v>
      </c>
      <c r="L46" s="38" t="s">
        <v>888</v>
      </c>
      <c r="M46" s="38" t="s">
        <v>889</v>
      </c>
      <c r="N46" s="38" t="s">
        <v>890</v>
      </c>
      <c r="O46" s="38" t="s">
        <v>891</v>
      </c>
      <c r="P46" s="38" t="s">
        <v>892</v>
      </c>
      <c r="Q46" s="38" t="s">
        <v>893</v>
      </c>
      <c r="R46" s="38" t="s">
        <v>894</v>
      </c>
      <c r="S46" s="38" t="s">
        <v>1048</v>
      </c>
      <c r="T46" s="38" t="s">
        <v>981</v>
      </c>
    </row>
    <row r="47" spans="2:21" ht="14.25" customHeight="1" x14ac:dyDescent="0.25">
      <c r="B47" s="75" t="s">
        <v>1019</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25">
      <c r="B48" s="75" t="s">
        <v>1024</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25">
      <c r="B49" s="75" t="s">
        <v>1025</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25">
      <c r="B50" s="75" t="s">
        <v>1026</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25">
      <c r="B51" s="75" t="s">
        <v>1370</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25">
      <c r="B52" s="171"/>
      <c r="C52" s="171"/>
      <c r="D52" s="171"/>
      <c r="E52" s="171"/>
      <c r="F52" s="171"/>
      <c r="G52" s="171"/>
      <c r="H52" s="171"/>
      <c r="I52" s="171"/>
      <c r="J52" s="171"/>
      <c r="K52" s="171"/>
      <c r="L52" s="171"/>
      <c r="M52" s="171"/>
      <c r="N52" s="171"/>
      <c r="O52" s="171"/>
      <c r="P52" s="171"/>
      <c r="Q52" s="171"/>
      <c r="R52" s="171"/>
      <c r="T52" s="239"/>
    </row>
    <row r="53" spans="2:21" ht="44.25" customHeight="1" x14ac:dyDescent="0.25">
      <c r="B53" s="302" t="str">
        <f>$B$6</f>
        <v>Hackney and City</v>
      </c>
      <c r="C53" s="441" t="s">
        <v>1063</v>
      </c>
      <c r="D53" s="437"/>
      <c r="E53" s="437"/>
      <c r="F53" s="437"/>
      <c r="G53" s="437"/>
      <c r="H53" s="437"/>
      <c r="I53" s="437"/>
      <c r="J53" s="437"/>
      <c r="K53" s="437"/>
      <c r="L53" s="437"/>
      <c r="M53" s="437"/>
      <c r="N53" s="437"/>
      <c r="O53" s="437"/>
      <c r="P53" s="437"/>
      <c r="Q53" s="437"/>
      <c r="R53" s="437"/>
      <c r="S53" s="437"/>
      <c r="T53" s="437"/>
    </row>
    <row r="54" spans="2:21" ht="21.75" customHeight="1" x14ac:dyDescent="0.25">
      <c r="B54" s="95" t="s">
        <v>1023</v>
      </c>
      <c r="C54" s="38" t="s">
        <v>879</v>
      </c>
      <c r="D54" s="38" t="s">
        <v>880</v>
      </c>
      <c r="E54" s="38" t="s">
        <v>881</v>
      </c>
      <c r="F54" s="38" t="s">
        <v>882</v>
      </c>
      <c r="G54" s="38" t="s">
        <v>883</v>
      </c>
      <c r="H54" s="38" t="s">
        <v>884</v>
      </c>
      <c r="I54" s="38" t="s">
        <v>885</v>
      </c>
      <c r="J54" s="38" t="s">
        <v>886</v>
      </c>
      <c r="K54" s="38" t="s">
        <v>887</v>
      </c>
      <c r="L54" s="38" t="s">
        <v>888</v>
      </c>
      <c r="M54" s="38" t="s">
        <v>889</v>
      </c>
      <c r="N54" s="38" t="s">
        <v>890</v>
      </c>
      <c r="O54" s="38" t="s">
        <v>891</v>
      </c>
      <c r="P54" s="38" t="s">
        <v>892</v>
      </c>
      <c r="Q54" s="38" t="s">
        <v>893</v>
      </c>
      <c r="R54" s="38" t="s">
        <v>894</v>
      </c>
      <c r="S54" s="38" t="s">
        <v>1048</v>
      </c>
      <c r="T54" s="38" t="s">
        <v>981</v>
      </c>
    </row>
    <row r="55" spans="2:21" ht="14.25" customHeight="1" x14ac:dyDescent="0.25">
      <c r="B55" s="75" t="s">
        <v>1019</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25">
      <c r="B56" s="75" t="s">
        <v>1024</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25">
      <c r="B57" s="75" t="s">
        <v>1025</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1" customHeight="1" x14ac:dyDescent="0.25">
      <c r="B58" s="75" t="s">
        <v>1026</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1" customHeight="1" x14ac:dyDescent="0.25">
      <c r="B59" s="75" t="s">
        <v>1370</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2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25">
      <c r="B61" s="302" t="str">
        <f>$B$6</f>
        <v>Hackney and City</v>
      </c>
      <c r="C61" s="441" t="s">
        <v>1064</v>
      </c>
      <c r="D61" s="437"/>
      <c r="E61" s="437"/>
      <c r="F61" s="437"/>
      <c r="G61" s="437"/>
      <c r="H61" s="437"/>
      <c r="I61" s="437"/>
      <c r="J61" s="437"/>
      <c r="K61" s="437"/>
      <c r="L61" s="437"/>
      <c r="M61" s="437"/>
      <c r="N61" s="437"/>
      <c r="O61" s="437"/>
      <c r="P61" s="437"/>
      <c r="Q61" s="437"/>
      <c r="R61" s="437"/>
      <c r="S61" s="437"/>
      <c r="T61" s="437"/>
    </row>
    <row r="62" spans="2:21" ht="19.5" customHeight="1" x14ac:dyDescent="0.25">
      <c r="B62" s="95" t="s">
        <v>1023</v>
      </c>
      <c r="C62" s="38" t="s">
        <v>879</v>
      </c>
      <c r="D62" s="38" t="s">
        <v>880</v>
      </c>
      <c r="E62" s="38" t="s">
        <v>881</v>
      </c>
      <c r="F62" s="38" t="s">
        <v>882</v>
      </c>
      <c r="G62" s="38" t="s">
        <v>883</v>
      </c>
      <c r="H62" s="38" t="s">
        <v>884</v>
      </c>
      <c r="I62" s="38" t="s">
        <v>885</v>
      </c>
      <c r="J62" s="38" t="s">
        <v>886</v>
      </c>
      <c r="K62" s="38" t="s">
        <v>887</v>
      </c>
      <c r="L62" s="38" t="s">
        <v>888</v>
      </c>
      <c r="M62" s="38" t="s">
        <v>889</v>
      </c>
      <c r="N62" s="38" t="s">
        <v>890</v>
      </c>
      <c r="O62" s="38" t="s">
        <v>891</v>
      </c>
      <c r="P62" s="38" t="s">
        <v>892</v>
      </c>
      <c r="Q62" s="38" t="s">
        <v>893</v>
      </c>
      <c r="R62" s="38" t="s">
        <v>894</v>
      </c>
      <c r="S62" s="38" t="s">
        <v>1048</v>
      </c>
      <c r="T62" s="38" t="s">
        <v>981</v>
      </c>
    </row>
    <row r="63" spans="2:21" ht="14.25" customHeight="1" x14ac:dyDescent="0.25">
      <c r="B63" s="75" t="s">
        <v>1019</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25">
      <c r="B64" s="75" t="s">
        <v>1024</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25">
      <c r="B65" s="75" t="s">
        <v>1025</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25">
      <c r="B66" s="75" t="s">
        <v>1026</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25">
      <c r="B67" s="75" t="s">
        <v>1370</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25">
      <c r="T68" s="239"/>
    </row>
    <row r="69" spans="2:21" ht="39" customHeight="1" x14ac:dyDescent="0.25">
      <c r="B69" s="302" t="str">
        <f>$B$6</f>
        <v>Hackney and City</v>
      </c>
      <c r="C69" s="441" t="s">
        <v>1052</v>
      </c>
      <c r="D69" s="437"/>
      <c r="E69" s="437"/>
      <c r="F69" s="437"/>
      <c r="G69" s="437"/>
      <c r="H69" s="437"/>
      <c r="I69" s="437"/>
      <c r="J69" s="437"/>
      <c r="K69" s="437"/>
      <c r="L69" s="437"/>
      <c r="M69" s="437"/>
      <c r="N69" s="437"/>
      <c r="O69" s="437"/>
      <c r="P69" s="437"/>
      <c r="Q69" s="437"/>
      <c r="R69" s="437"/>
      <c r="S69" s="437"/>
    </row>
    <row r="70" spans="2:21" ht="23.25" customHeight="1" x14ac:dyDescent="0.25">
      <c r="B70" s="95" t="s">
        <v>1023</v>
      </c>
      <c r="C70" s="38" t="s">
        <v>879</v>
      </c>
      <c r="D70" s="38" t="s">
        <v>880</v>
      </c>
      <c r="E70" s="38" t="s">
        <v>881</v>
      </c>
      <c r="F70" s="38" t="s">
        <v>882</v>
      </c>
      <c r="G70" s="38" t="s">
        <v>883</v>
      </c>
      <c r="H70" s="38" t="s">
        <v>884</v>
      </c>
      <c r="I70" s="38" t="s">
        <v>885</v>
      </c>
      <c r="J70" s="38" t="s">
        <v>886</v>
      </c>
      <c r="K70" s="38" t="s">
        <v>887</v>
      </c>
      <c r="L70" s="38" t="s">
        <v>888</v>
      </c>
      <c r="M70" s="38" t="s">
        <v>889</v>
      </c>
      <c r="N70" s="38" t="s">
        <v>890</v>
      </c>
      <c r="O70" s="38" t="s">
        <v>891</v>
      </c>
      <c r="P70" s="38" t="s">
        <v>892</v>
      </c>
      <c r="Q70" s="38" t="s">
        <v>893</v>
      </c>
      <c r="R70" s="38" t="s">
        <v>894</v>
      </c>
      <c r="S70" s="38" t="s">
        <v>1048</v>
      </c>
    </row>
    <row r="71" spans="2:21" x14ac:dyDescent="0.25">
      <c r="B71" s="75" t="s">
        <v>1019</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25">
      <c r="B72" s="75" t="s">
        <v>1024</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25">
      <c r="B73" s="75" t="s">
        <v>1025</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25">
      <c r="B74" s="75" t="s">
        <v>1026</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25">
      <c r="B75" s="75" t="s">
        <v>1370</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3" priority="3" operator="lessThan">
      <formula>0.9</formula>
    </cfRule>
    <cfRule type="cellIs" dxfId="6102" priority="4" operator="greaterThanOrEqual">
      <formula>1.1</formula>
    </cfRule>
  </conditionalFormatting>
  <conditionalFormatting sqref="M11:M12">
    <cfRule type="cellIs" dxfId="6101" priority="2" operator="greaterThan">
      <formula>1.1</formula>
    </cfRule>
  </conditionalFormatting>
  <conditionalFormatting sqref="N11:N12">
    <cfRule type="cellIs" dxfId="6100"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B6" sqref="B6"/>
    </sheetView>
  </sheetViews>
  <sheetFormatPr defaultColWidth="8.85546875" defaultRowHeight="15" x14ac:dyDescent="0.25"/>
  <cols>
    <col min="2" max="2" width="46.7109375" customWidth="1"/>
    <col min="3" max="3" width="19.140625" customWidth="1"/>
    <col min="4" max="4" width="20.42578125" bestFit="1" customWidth="1"/>
    <col min="5" max="5" width="14.85546875" customWidth="1"/>
    <col min="6" max="6" width="17.140625" customWidth="1"/>
    <col min="7" max="7" width="18.42578125" customWidth="1"/>
    <col min="8" max="8" width="19.140625" customWidth="1"/>
    <col min="9" max="9" width="15.42578125" customWidth="1"/>
    <col min="10" max="10" width="20.42578125" customWidth="1"/>
    <col min="11" max="11" width="26.42578125" bestFit="1" customWidth="1"/>
    <col min="12" max="12" width="16.85546875" customWidth="1"/>
    <col min="13" max="13" width="17.85546875" bestFit="1" customWidth="1"/>
    <col min="14" max="14" width="8.42578125" bestFit="1" customWidth="1"/>
    <col min="17" max="17" width="10" bestFit="1" customWidth="1"/>
    <col min="21" max="21" width="51.85546875" bestFit="1" customWidth="1"/>
  </cols>
  <sheetData>
    <row r="1" spans="1:19" ht="45.75" customHeight="1" x14ac:dyDescent="0.4">
      <c r="A1" s="435" t="s">
        <v>1065</v>
      </c>
      <c r="B1" s="435"/>
      <c r="C1" s="435"/>
      <c r="D1" s="435"/>
      <c r="E1" s="435"/>
      <c r="F1" s="435"/>
      <c r="G1" s="435"/>
      <c r="H1" s="435"/>
      <c r="I1" s="435"/>
      <c r="J1" s="435"/>
      <c r="K1" s="435"/>
      <c r="L1" s="435"/>
      <c r="M1" s="435"/>
      <c r="N1" s="279"/>
      <c r="O1" s="279"/>
      <c r="P1" s="279"/>
      <c r="Q1" s="279"/>
      <c r="R1" s="279"/>
      <c r="S1" s="279"/>
    </row>
    <row r="2" spans="1:19" ht="37.5" customHeight="1" x14ac:dyDescent="0.25">
      <c r="A2" s="430"/>
      <c r="B2" s="430"/>
      <c r="C2" s="430"/>
      <c r="D2" s="430"/>
      <c r="E2" s="430"/>
      <c r="F2" s="430"/>
      <c r="G2" s="430"/>
      <c r="H2" s="430"/>
      <c r="I2" s="430"/>
      <c r="J2" s="430"/>
      <c r="K2" s="430"/>
      <c r="L2" s="430"/>
      <c r="M2" s="430"/>
      <c r="N2" s="241"/>
      <c r="O2" s="241"/>
      <c r="P2" s="241"/>
      <c r="Q2" s="241"/>
      <c r="R2" s="241"/>
      <c r="S2" s="241"/>
    </row>
    <row r="4" spans="1:19" ht="57" customHeight="1" x14ac:dyDescent="0.25">
      <c r="B4" s="36" t="s">
        <v>1066</v>
      </c>
    </row>
    <row r="5" spans="1:19" ht="24" customHeight="1" x14ac:dyDescent="0.25">
      <c r="B5" s="54" t="s">
        <v>21</v>
      </c>
      <c r="F5" s="40"/>
    </row>
    <row r="6" spans="1:19" ht="32.25" customHeight="1" x14ac:dyDescent="0.25">
      <c r="B6" s="55" t="s">
        <v>238</v>
      </c>
    </row>
    <row r="8" spans="1:19" ht="23.25" x14ac:dyDescent="0.25">
      <c r="B8" s="449" t="s">
        <v>958</v>
      </c>
      <c r="C8" s="450"/>
      <c r="D8" s="450"/>
      <c r="E8" s="450"/>
      <c r="F8" s="451"/>
    </row>
    <row r="9" spans="1:19" ht="63.75" x14ac:dyDescent="0.25">
      <c r="B9" s="332" t="str">
        <f>B6</f>
        <v>Hammersmith, Fulham, Kensington, Chelsea and Westminster</v>
      </c>
      <c r="C9" s="219" t="s">
        <v>959</v>
      </c>
      <c r="D9" s="63" t="s">
        <v>960</v>
      </c>
      <c r="E9" s="63" t="s">
        <v>961</v>
      </c>
      <c r="F9" s="63" t="s">
        <v>1067</v>
      </c>
      <c r="H9" s="219" t="s">
        <v>1068</v>
      </c>
      <c r="I9" s="219" t="s">
        <v>964</v>
      </c>
      <c r="J9" s="64"/>
      <c r="K9" s="219" t="s">
        <v>965</v>
      </c>
      <c r="L9" s="219" t="s">
        <v>966</v>
      </c>
    </row>
    <row r="10" spans="1:19" x14ac:dyDescent="0.25">
      <c r="B10" s="339"/>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25">
      <c r="B11" s="106" t="s">
        <v>967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25">
      <c r="B12" s="119" t="s">
        <v>1058</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25">
      <c r="B14" s="332" t="str">
        <f>B6</f>
        <v>Hammersmith, Fulham, Kensington, Chelsea and Westminster</v>
      </c>
      <c r="C14" s="70" t="s">
        <v>970</v>
      </c>
      <c r="D14" s="70" t="s">
        <v>971</v>
      </c>
      <c r="E14" s="70" t="s">
        <v>972</v>
      </c>
      <c r="F14" s="70" t="s">
        <v>973</v>
      </c>
      <c r="G14" s="70" t="s">
        <v>974</v>
      </c>
      <c r="H14" s="70" t="s">
        <v>975</v>
      </c>
      <c r="I14" s="70" t="s">
        <v>976</v>
      </c>
      <c r="J14" s="71" t="s">
        <v>977</v>
      </c>
      <c r="K14" s="70" t="s">
        <v>978</v>
      </c>
      <c r="L14" s="70" t="s">
        <v>979</v>
      </c>
      <c r="M14" s="70" t="s">
        <v>980</v>
      </c>
    </row>
    <row r="15" spans="1:19" ht="27.75" customHeight="1" x14ac:dyDescent="0.25">
      <c r="B15" s="333"/>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25">
      <c r="B16" s="106" t="s">
        <v>1069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25">
      <c r="B17" s="105" t="s">
        <v>1058</v>
      </c>
      <c r="C17" s="100" t="s">
        <v>982</v>
      </c>
      <c r="D17" s="100" t="s">
        <v>982</v>
      </c>
      <c r="E17" s="101" t="e">
        <f>+E15-E16</f>
        <v>#DIV/0!</v>
      </c>
      <c r="F17" s="100" t="s">
        <v>982</v>
      </c>
      <c r="G17" s="100" t="s">
        <v>982</v>
      </c>
      <c r="H17" s="101" t="str">
        <f>IFERROR(+H15-H16,"N/A")</f>
        <v>N/A</v>
      </c>
      <c r="I17" s="100" t="s">
        <v>982</v>
      </c>
      <c r="J17" s="101" t="str">
        <f>IFERROR(+J15-J16,"N/A")</f>
        <v>N/A</v>
      </c>
      <c r="K17" s="100" t="s">
        <v>982</v>
      </c>
      <c r="L17" s="100" t="s">
        <v>982</v>
      </c>
      <c r="M17" s="101" t="str">
        <f>IFERROR(+M15-M16,"N/A")</f>
        <v>N/A</v>
      </c>
    </row>
    <row r="19" spans="2:13" ht="23.25" x14ac:dyDescent="0.25">
      <c r="B19" s="449" t="s">
        <v>983</v>
      </c>
      <c r="C19" s="450"/>
      <c r="D19" s="450"/>
      <c r="E19" s="450"/>
      <c r="F19" s="451"/>
      <c r="G19" s="452"/>
      <c r="H19" s="453"/>
    </row>
    <row r="20" spans="2:13" ht="66" customHeight="1" x14ac:dyDescent="0.25">
      <c r="B20" s="76"/>
      <c r="C20" s="63" t="s">
        <v>1070</v>
      </c>
      <c r="D20" s="63" t="s">
        <v>1071</v>
      </c>
      <c r="E20" s="63" t="s">
        <v>1072</v>
      </c>
      <c r="F20" s="63" t="s">
        <v>987</v>
      </c>
      <c r="G20" s="219" t="s">
        <v>1073</v>
      </c>
      <c r="H20" s="219" t="s">
        <v>1074</v>
      </c>
    </row>
    <row r="21" spans="2:13" ht="26.25" x14ac:dyDescent="0.25">
      <c r="B21" s="338"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overview'!B108,'caseload data'!U:U)</f>
        <v>0</v>
      </c>
    </row>
    <row r="22" spans="2:13" x14ac:dyDescent="0.25">
      <c r="B22" s="79" t="s">
        <v>1069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25">
      <c r="B23" s="116" t="s">
        <v>1058</v>
      </c>
      <c r="C23" s="100" t="s">
        <v>982</v>
      </c>
      <c r="D23" s="100" t="s">
        <v>982</v>
      </c>
      <c r="E23" s="100" t="s">
        <v>982</v>
      </c>
      <c r="F23" s="104" t="s">
        <v>982</v>
      </c>
      <c r="G23" s="104" t="e">
        <f>+G21-G22</f>
        <v>#DIV/0!</v>
      </c>
      <c r="H23" s="100" t="s">
        <v>982</v>
      </c>
    </row>
    <row r="26" spans="2:13" ht="23.25" x14ac:dyDescent="0.25">
      <c r="B26" s="449" t="s">
        <v>990</v>
      </c>
      <c r="C26" s="450"/>
      <c r="D26" s="450"/>
      <c r="E26" s="450"/>
      <c r="F26" s="451"/>
      <c r="G26" s="452"/>
      <c r="H26" s="453"/>
      <c r="I26" s="452"/>
      <c r="J26" s="453"/>
      <c r="K26" s="453"/>
    </row>
    <row r="27" spans="2:13" ht="83.25" customHeight="1" x14ac:dyDescent="0.25">
      <c r="B27" s="84"/>
      <c r="C27" s="219" t="s">
        <v>991</v>
      </c>
      <c r="D27" s="219" t="s">
        <v>992</v>
      </c>
      <c r="E27" s="219" t="s">
        <v>993</v>
      </c>
      <c r="F27" s="219" t="s">
        <v>994</v>
      </c>
      <c r="G27" s="219" t="s">
        <v>995</v>
      </c>
      <c r="H27" s="219" t="s">
        <v>996</v>
      </c>
      <c r="I27" s="219" t="s">
        <v>997</v>
      </c>
      <c r="J27" s="219" t="s">
        <v>998</v>
      </c>
      <c r="K27" s="219" t="s">
        <v>999</v>
      </c>
    </row>
    <row r="28" spans="2:13" ht="26.25" x14ac:dyDescent="0.25">
      <c r="B28" s="338"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25">
      <c r="B29" s="106" t="s">
        <v>1075</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25">
      <c r="B30" s="105" t="s">
        <v>1058</v>
      </c>
      <c r="C30" s="100" t="s">
        <v>982</v>
      </c>
      <c r="D30" s="100" t="s">
        <v>982</v>
      </c>
      <c r="E30" s="99" t="e">
        <f>+E28-E29</f>
        <v>#DIV/0!</v>
      </c>
      <c r="F30" s="100" t="s">
        <v>982</v>
      </c>
      <c r="G30" s="100" t="s">
        <v>982</v>
      </c>
      <c r="H30" s="99" t="str">
        <f>IFERROR(+H28-H29,"N/A")</f>
        <v>N/A</v>
      </c>
      <c r="I30" s="100" t="s">
        <v>982</v>
      </c>
      <c r="J30" s="100" t="s">
        <v>982</v>
      </c>
      <c r="K30" s="99" t="str">
        <f>IFERROR(+K28-K29,"N/A")</f>
        <v>N/A</v>
      </c>
    </row>
    <row r="32" spans="2:13" ht="37.5" customHeight="1" x14ac:dyDescent="0.25">
      <c r="B32" s="462" t="s">
        <v>1076</v>
      </c>
      <c r="C32" s="463"/>
      <c r="D32" s="463"/>
      <c r="F32" s="464" t="s">
        <v>1077</v>
      </c>
      <c r="G32" s="465"/>
    </row>
    <row r="33" spans="1:7" ht="60.75" customHeight="1" x14ac:dyDescent="0.25">
      <c r="B33" s="76" t="s">
        <v>1078</v>
      </c>
      <c r="C33" s="219" t="s">
        <v>1079</v>
      </c>
      <c r="D33" s="219" t="s">
        <v>1080</v>
      </c>
      <c r="E33" s="64"/>
      <c r="F33" s="215" t="s">
        <v>1081</v>
      </c>
      <c r="G33" s="214">
        <f>COUNTIFS('reductions data'!B:B,'cluster overview'!B6,'reductions data'!K:K,"ACTIVE")</f>
        <v>0</v>
      </c>
    </row>
    <row r="34" spans="1:7" x14ac:dyDescent="0.25">
      <c r="B34" s="112" t="s">
        <v>907</v>
      </c>
      <c r="C34" s="89">
        <f>COUNTIFS('reductions data'!B:B,'cluster overview'!$B$6,'reductions data'!G:G,'cluster overview'!B34)</f>
        <v>0</v>
      </c>
      <c r="D34" s="90">
        <f>SUMIFS('reductions data'!H:H,'reductions data'!B:B,'cluster overview'!$B$6,'reductions data'!$G:$G,'cluster overview'!B34)</f>
        <v>0</v>
      </c>
      <c r="E34" s="64"/>
      <c r="F34" s="460" t="s">
        <v>1082</v>
      </c>
      <c r="G34" s="461">
        <f>SUMIF('reductions data'!B:B,'cluster overview'!B6,'reductions data'!H:H)</f>
        <v>0</v>
      </c>
    </row>
    <row r="35" spans="1:7" x14ac:dyDescent="0.25">
      <c r="B35" s="113" t="s">
        <v>909</v>
      </c>
      <c r="C35" s="89">
        <f>COUNTIFS('reductions data'!B:B,'cluster overview'!$B$6,'reductions data'!G:G,'cluster overview'!B35)</f>
        <v>0</v>
      </c>
      <c r="D35" s="90">
        <f>SUMIFS('reductions data'!H:H,'reductions data'!B:B,'cluster overview'!$B$6,'reductions data'!$G:$G,'cluster overview'!B35)</f>
        <v>0</v>
      </c>
      <c r="E35" s="64"/>
      <c r="F35" s="424"/>
      <c r="G35" s="424"/>
    </row>
    <row r="36" spans="1:7" x14ac:dyDescent="0.25">
      <c r="B36" s="113" t="s">
        <v>908</v>
      </c>
      <c r="C36" s="89">
        <f>COUNTIFS('reductions data'!B:B,'cluster overview'!$B$6,'reductions data'!G:G,'cluster overview'!B36)</f>
        <v>0</v>
      </c>
      <c r="D36" s="90">
        <f>SUMIFS('reductions data'!H:H,'reductions data'!B:B,'cluster overview'!$B$6,'reductions data'!$G:$G,'cluster overview'!B36)</f>
        <v>0</v>
      </c>
      <c r="E36" s="91"/>
      <c r="F36" s="424"/>
      <c r="G36" s="424"/>
    </row>
    <row r="37" spans="1:7" x14ac:dyDescent="0.25">
      <c r="B37" s="113" t="s">
        <v>910</v>
      </c>
      <c r="C37" s="89">
        <f>COUNTIFS('reductions data'!B:B,'cluster overview'!$B$6,'reductions data'!G:G,'cluster overview'!B37)</f>
        <v>0</v>
      </c>
      <c r="D37" s="90">
        <f>SUMIFS('reductions data'!H:H,'reductions data'!B:B,'cluster overview'!$B$6,'reductions data'!$G:$G,'cluster overview'!B37)</f>
        <v>0</v>
      </c>
      <c r="E37" s="91"/>
      <c r="F37" s="466" t="s">
        <v>1083</v>
      </c>
      <c r="G37" s="461">
        <f>SUMIF('capacity data'!B:B,'cluster overview'!B6,'capacity data'!I:I)</f>
        <v>0</v>
      </c>
    </row>
    <row r="38" spans="1:7" x14ac:dyDescent="0.25">
      <c r="B38" s="113" t="s">
        <v>911</v>
      </c>
      <c r="C38" s="89">
        <f>COUNTIFS('reductions data'!B:B,'cluster overview'!$B$6,'reductions data'!G:G,'cluster overview'!B38)</f>
        <v>0</v>
      </c>
      <c r="D38" s="90">
        <f>SUMIFS('reductions data'!H:H,'reductions data'!B:B,'cluster overview'!$B$6,'reductions data'!$G:$G,'cluster overview'!B38)</f>
        <v>0</v>
      </c>
      <c r="E38" s="91"/>
      <c r="F38" s="424"/>
      <c r="G38" s="424"/>
    </row>
    <row r="39" spans="1:7" x14ac:dyDescent="0.25">
      <c r="B39" s="113" t="s">
        <v>912</v>
      </c>
      <c r="C39" s="89">
        <f>COUNTIFS('reductions data'!B:B,'cluster overview'!$B$6,'reductions data'!G:G,'cluster overview'!B39)</f>
        <v>0</v>
      </c>
      <c r="D39" s="90">
        <f>SUMIFS('reductions data'!H:H,'reductions data'!B:B,'cluster overview'!$B$6,'reductions data'!$G:$G,'cluster overview'!B39)</f>
        <v>0</v>
      </c>
      <c r="E39" s="91"/>
      <c r="F39" s="424"/>
      <c r="G39" s="424"/>
    </row>
    <row r="40" spans="1:7" x14ac:dyDescent="0.25">
      <c r="B40" s="113" t="s">
        <v>913</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25">
      <c r="A41" s="91"/>
      <c r="B41" s="113" t="s">
        <v>914</v>
      </c>
      <c r="C41" s="89">
        <f>COUNTIFS('reductions data'!B:B,'cluster overview'!$B$6,'reductions data'!G:G,'cluster overview'!B41)</f>
        <v>0</v>
      </c>
      <c r="D41" s="90">
        <f>SUMIFS('reductions data'!H:H,'reductions data'!B:B,'cluster overview'!$B$6,'reductions data'!$G:$G,'cluster overview'!B41)</f>
        <v>0</v>
      </c>
      <c r="E41" s="91"/>
      <c r="F41" s="467" t="s">
        <v>1084</v>
      </c>
      <c r="G41" s="469" t="e">
        <f>G34/G37</f>
        <v>#DIV/0!</v>
      </c>
    </row>
    <row r="42" spans="1:7" ht="15.75" customHeight="1" x14ac:dyDescent="0.25">
      <c r="A42" s="91"/>
      <c r="B42" s="113" t="s">
        <v>1287</v>
      </c>
      <c r="C42" s="89">
        <f>COUNTIFS('reductions data'!B:B,'cluster overview'!$B$6,'reductions data'!G:G,'cluster overview'!B42)</f>
        <v>0</v>
      </c>
      <c r="D42" s="90">
        <f>SUMIFS('reductions data'!H:H,'reductions data'!B:B,'cluster overview'!$B$6,'reductions data'!$G:$G,'cluster overview'!B42)</f>
        <v>0</v>
      </c>
      <c r="E42" s="91"/>
      <c r="F42" s="468"/>
      <c r="G42" s="470"/>
    </row>
    <row r="43" spans="1:7" x14ac:dyDescent="0.25">
      <c r="B43" s="113" t="s">
        <v>915</v>
      </c>
      <c r="C43" s="89">
        <f>COUNTIFS('reductions data'!B:B,'cluster overview'!$B$6,'reductions data'!G:G,'cluster overview'!B43)</f>
        <v>0</v>
      </c>
      <c r="D43" s="90">
        <f>SUMIFS('reductions data'!H:H,'reductions data'!B:B,'cluster overview'!$B$6,'reductions data'!$G:$G,'cluster overview'!B43)</f>
        <v>0</v>
      </c>
      <c r="E43" s="91"/>
      <c r="F43" s="455"/>
      <c r="G43" s="458"/>
    </row>
    <row r="44" spans="1:7" x14ac:dyDescent="0.25">
      <c r="B44" s="113" t="s">
        <v>916</v>
      </c>
      <c r="C44" s="89">
        <f>COUNTIFS('reductions data'!B:B,'cluster overview'!$B$6,'reductions data'!G:G,'cluster overview'!B44)</f>
        <v>0</v>
      </c>
      <c r="D44" s="90">
        <f>SUMIFS('reductions data'!H:H,'reductions data'!B:B,'cluster overview'!$B$6,'reductions data'!$G:$G,'cluster overview'!B44)</f>
        <v>0</v>
      </c>
      <c r="E44" s="91"/>
      <c r="F44" s="455"/>
      <c r="G44" s="458"/>
    </row>
    <row r="45" spans="1:7" x14ac:dyDescent="0.25">
      <c r="B45" s="113" t="s">
        <v>917</v>
      </c>
      <c r="C45" s="89">
        <f>COUNTIFS('reductions data'!B:B,'cluster overview'!$B$6,'reductions data'!G:G,'cluster overview'!B45)</f>
        <v>0</v>
      </c>
      <c r="D45" s="90">
        <f>SUMIFS('reductions data'!H:H,'reductions data'!B:B,'cluster overview'!$B$6,'reductions data'!$G:$G,'cluster overview'!B45)</f>
        <v>0</v>
      </c>
      <c r="E45" s="91"/>
      <c r="F45" s="455"/>
      <c r="G45" s="458"/>
    </row>
    <row r="46" spans="1:7" x14ac:dyDescent="0.25">
      <c r="B46" s="113" t="s">
        <v>918</v>
      </c>
      <c r="C46" s="89">
        <f>COUNTIFS('reductions data'!B:B,'cluster overview'!$B$6,'reductions data'!G:G,'cluster overview'!B46)</f>
        <v>0</v>
      </c>
      <c r="D46" s="90">
        <f>SUMIFS('reductions data'!H:H,'reductions data'!B:B,'cluster overview'!$B$6,'reductions data'!$G:$G,'cluster overview'!B46)</f>
        <v>0</v>
      </c>
      <c r="E46" s="91"/>
      <c r="F46" s="456"/>
      <c r="G46" s="459"/>
    </row>
    <row r="47" spans="1:7" ht="15.75" customHeight="1" x14ac:dyDescent="0.25">
      <c r="B47" s="113" t="s">
        <v>920</v>
      </c>
      <c r="C47" s="89">
        <f>COUNTIFS('reductions data'!B:B,'cluster overview'!$B$6,'reductions data'!G:G,'cluster overview'!B47)</f>
        <v>0</v>
      </c>
      <c r="D47" s="90">
        <f>SUMIFS('reductions data'!H:H,'reductions data'!B:B,'cluster overview'!$B$6,'reductions data'!$G:$G,'cluster overview'!B47)</f>
        <v>0</v>
      </c>
      <c r="E47" s="91"/>
      <c r="F47" s="454" t="s">
        <v>1085</v>
      </c>
      <c r="G47" s="457" t="e">
        <f>+G41-'div &amp; regional reduction hours'!N18</f>
        <v>#DIV/0!</v>
      </c>
    </row>
    <row r="48" spans="1:7" x14ac:dyDescent="0.25">
      <c r="B48" s="113" t="s">
        <v>923</v>
      </c>
      <c r="C48" s="89">
        <f>COUNTIFS('reductions data'!B:B,'cluster overview'!$B$6,'reductions data'!G:G,'cluster overview'!B48)</f>
        <v>0</v>
      </c>
      <c r="D48" s="90">
        <f>SUMIFS('reductions data'!H:H,'reductions data'!B:B,'cluster overview'!$B$6,'reductions data'!$G:$G,'cluster overview'!B48)</f>
        <v>0</v>
      </c>
      <c r="E48" s="91"/>
      <c r="F48" s="455"/>
      <c r="G48" s="458"/>
    </row>
    <row r="49" spans="2:7" x14ac:dyDescent="0.25">
      <c r="B49" s="113" t="s">
        <v>919</v>
      </c>
      <c r="C49" s="89">
        <f>COUNTIFS('reductions data'!B:B,'cluster overview'!$B$6,'reductions data'!G:G,'cluster overview'!B49)</f>
        <v>0</v>
      </c>
      <c r="D49" s="90">
        <f>SUMIFS('reductions data'!H:H,'reductions data'!B:B,'cluster overview'!$B$6,'reductions data'!$G:$G,'cluster overview'!B49)</f>
        <v>0</v>
      </c>
      <c r="E49" s="91"/>
      <c r="F49" s="455"/>
      <c r="G49" s="458"/>
    </row>
    <row r="50" spans="2:7" x14ac:dyDescent="0.25">
      <c r="B50" s="113" t="s">
        <v>1011</v>
      </c>
      <c r="C50" s="89">
        <f>COUNTIFS('reductions data'!B:B,'cluster overview'!$B$6,'reductions data'!G:G,'cluster overview'!B50)</f>
        <v>0</v>
      </c>
      <c r="D50" s="90">
        <f>SUMIFS('reductions data'!H:H,'reductions data'!B:B,'cluster overview'!$B$6,'reductions data'!$G:$G,'cluster overview'!B50)</f>
        <v>0</v>
      </c>
      <c r="E50" s="91"/>
      <c r="F50" s="455"/>
      <c r="G50" s="458"/>
    </row>
    <row r="51" spans="2:7" x14ac:dyDescent="0.25">
      <c r="B51" s="113" t="s">
        <v>924</v>
      </c>
      <c r="C51" s="89">
        <f>COUNTIFS('reductions data'!B:B,'cluster overview'!$B$6,'reductions data'!G:G,'cluster overview'!B51)</f>
        <v>0</v>
      </c>
      <c r="D51" s="90">
        <f>SUMIFS('reductions data'!H:H,'reductions data'!B:B,'cluster overview'!$B$6,'reductions data'!$G:$G,'cluster overview'!B51)</f>
        <v>0</v>
      </c>
      <c r="E51" s="91"/>
      <c r="F51" s="456"/>
      <c r="G51" s="459"/>
    </row>
    <row r="52" spans="2:7" x14ac:dyDescent="0.25">
      <c r="B52" s="113" t="s">
        <v>925</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25">
      <c r="B53" s="113" t="s">
        <v>926</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25">
      <c r="B54" s="113" t="s">
        <v>927</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25">
      <c r="B55" s="113" t="s">
        <v>928</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25">
      <c r="B56" s="113" t="s">
        <v>929</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25">
      <c r="B57" s="113" t="s">
        <v>930</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25">
      <c r="B58" s="113" t="s">
        <v>932</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25">
      <c r="B59" s="113" t="s">
        <v>934</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25">
      <c r="B60" s="113" t="s">
        <v>936</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25">
      <c r="B61" s="113" t="s">
        <v>1280</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25">
      <c r="B62" s="113" t="s">
        <v>1281</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25">
      <c r="B63" s="324" t="s">
        <v>1278</v>
      </c>
      <c r="C63" s="89">
        <f>COUNTIFS('reductions data'!B:B,'cluster overview'!$B$6,'reductions data'!G:G,'cluster overview'!B63)</f>
        <v>0</v>
      </c>
      <c r="D63" s="90">
        <f>SUMIFS('reductions data'!H:H,'reductions data'!B:B,'cluster overview'!$B$6,'reductions data'!$G:$G,'cluster overview'!B63)</f>
        <v>0</v>
      </c>
      <c r="E63" s="91"/>
      <c r="F63" s="91"/>
      <c r="G63" s="64"/>
    </row>
    <row r="64" spans="2:7" x14ac:dyDescent="0.25">
      <c r="B64" s="324" t="s">
        <v>1279</v>
      </c>
      <c r="C64" s="89">
        <f>COUNTIFS('reductions data'!B:B,'cluster overview'!$B$6,'reductions data'!G:G,'cluster overview'!B64)</f>
        <v>0</v>
      </c>
      <c r="D64" s="90">
        <f>SUMIFS('reductions data'!H:H,'reductions data'!B:B,'cluster overview'!$B$6,'reductions data'!$G:$G,'cluster overview'!B64)</f>
        <v>0</v>
      </c>
      <c r="E64" s="91"/>
      <c r="F64" s="91"/>
      <c r="G64" s="64"/>
    </row>
    <row r="65" spans="2:7" x14ac:dyDescent="0.25">
      <c r="B65" s="324" t="s">
        <v>1288</v>
      </c>
      <c r="C65" s="89">
        <f>COUNTIFS('reductions data'!B:B,'cluster overview'!$B$6,'reductions data'!G:G,'cluster overview'!B65)</f>
        <v>0</v>
      </c>
      <c r="D65" s="90">
        <f>SUMIFS('reductions data'!H:H,'reductions data'!B:B,'cluster overview'!$B$6,'reductions data'!$G:$G,'cluster overview'!B65)</f>
        <v>0</v>
      </c>
      <c r="E65" s="91"/>
      <c r="F65" s="91"/>
      <c r="G65" s="64"/>
    </row>
    <row r="66" spans="2:7" x14ac:dyDescent="0.25">
      <c r="B66" s="113" t="s">
        <v>933</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25">
      <c r="B67" s="113" t="s">
        <v>938</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25">
      <c r="B68" s="340" t="s">
        <v>935</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25">
      <c r="B69" s="324" t="s">
        <v>1284</v>
      </c>
      <c r="C69" s="329">
        <f>COUNTIFS('reductions data'!B:B,'cluster overview'!$B$6,'reductions data'!G:G,'cluster overview'!B69)</f>
        <v>0</v>
      </c>
      <c r="D69" s="90">
        <f>SUMIFS('reductions data'!H:H,'reductions data'!B:B,'cluster overview'!$B$6,'reductions data'!$G:$G,'cluster overview'!B69)</f>
        <v>0</v>
      </c>
      <c r="E69" s="91"/>
      <c r="F69" s="91"/>
      <c r="G69" s="64"/>
    </row>
    <row r="70" spans="2:7" x14ac:dyDescent="0.25">
      <c r="B70" s="324" t="s">
        <v>1285</v>
      </c>
      <c r="C70" s="329">
        <f>COUNTIFS('reductions data'!B:B,'cluster overview'!$B$6,'reductions data'!G:G,'cluster overview'!B70)</f>
        <v>0</v>
      </c>
      <c r="D70" s="90">
        <f>SUMIFS('reductions data'!H:H,'reductions data'!B:B,'cluster overview'!$B$6,'reductions data'!$G:$G,'cluster overview'!B70)</f>
        <v>0</v>
      </c>
      <c r="E70" s="91"/>
      <c r="F70" s="91"/>
      <c r="G70" s="64"/>
    </row>
    <row r="71" spans="2:7" x14ac:dyDescent="0.25">
      <c r="B71" s="324" t="s">
        <v>1289</v>
      </c>
      <c r="C71" s="329">
        <f>COUNTIFS('reductions data'!B:B,'cluster overview'!$B$6,'reductions data'!G:G,'cluster overview'!B71)</f>
        <v>0</v>
      </c>
      <c r="D71" s="90">
        <f>SUMIFS('reductions data'!H:H,'reductions data'!B:B,'cluster overview'!$B$6,'reductions data'!$G:$G,'cluster overview'!B71)</f>
        <v>0</v>
      </c>
      <c r="E71" s="91"/>
      <c r="F71" s="91"/>
      <c r="G71" s="64"/>
    </row>
    <row r="72" spans="2:7" x14ac:dyDescent="0.25">
      <c r="B72" s="112" t="s">
        <v>1282</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25">
      <c r="B73" s="113" t="s">
        <v>1283</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25">
      <c r="B74" s="113" t="s">
        <v>939</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25">
      <c r="B75" s="113" t="s">
        <v>940</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25">
      <c r="B76" s="113" t="s">
        <v>941</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25">
      <c r="B77" s="113" t="s">
        <v>942</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25">
      <c r="B78" s="113" t="s">
        <v>943</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25">
      <c r="B79" s="113" t="s">
        <v>944</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25">
      <c r="B80" s="113" t="s">
        <v>931</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25">
      <c r="B81" s="113" t="s">
        <v>945</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25">
      <c r="B82" s="113" t="s">
        <v>946</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25">
      <c r="B83" s="113" t="s">
        <v>947</v>
      </c>
      <c r="C83" s="89">
        <f>COUNTIFS('reductions data'!B:B,'cluster overview'!$B$6,'reductions data'!G:G,'cluster overview'!B83)</f>
        <v>0</v>
      </c>
      <c r="D83" s="90">
        <f>SUMIFS('reductions data'!H:H,'reductions data'!B:B,'cluster overview'!$B$6,'reductions data'!$G:$G,'cluster overview'!B83)</f>
        <v>0</v>
      </c>
      <c r="E83" s="91"/>
      <c r="F83" s="91"/>
      <c r="G83" s="64"/>
    </row>
    <row r="84" spans="2:19" x14ac:dyDescent="0.25">
      <c r="B84" s="113" t="s">
        <v>948</v>
      </c>
      <c r="C84" s="89">
        <f>COUNTIFS('reductions data'!B:B,'cluster overview'!$B$6,'reductions data'!G:G,'cluster overview'!B84)</f>
        <v>0</v>
      </c>
      <c r="D84" s="90">
        <f>SUMIFS('reductions data'!H:H,'reductions data'!B:B,'cluster overview'!$B$6,'reductions data'!$G:$G,'cluster overview'!B84)</f>
        <v>0</v>
      </c>
      <c r="E84" s="91"/>
      <c r="F84" s="91"/>
      <c r="G84" s="64"/>
    </row>
    <row r="85" spans="2:19" x14ac:dyDescent="0.25">
      <c r="B85" s="113" t="s">
        <v>949</v>
      </c>
      <c r="C85" s="89">
        <f>COUNTIFS('reductions data'!B:B,'cluster overview'!$B$6,'reductions data'!G:G,'cluster overview'!B85)</f>
        <v>0</v>
      </c>
      <c r="D85" s="90">
        <f>SUMIFS('reductions data'!H:H,'reductions data'!B:B,'cluster overview'!$B$6,'reductions data'!$G:$G,'cluster overview'!B85)</f>
        <v>0</v>
      </c>
      <c r="E85" s="91"/>
      <c r="F85" s="91"/>
      <c r="G85" s="64"/>
    </row>
    <row r="86" spans="2:19" x14ac:dyDescent="0.25">
      <c r="B86" s="113" t="s">
        <v>950</v>
      </c>
      <c r="C86" s="89">
        <f>COUNTIFS('reductions data'!B:B,'cluster overview'!$B$6,'reductions data'!G:G,'cluster overview'!B86)</f>
        <v>0</v>
      </c>
      <c r="D86" s="90">
        <f>SUMIFS('reductions data'!H:H,'reductions data'!B:B,'cluster overview'!$B$6,'reductions data'!$G:$G,'cluster overview'!B86)</f>
        <v>0</v>
      </c>
      <c r="E86" s="91"/>
      <c r="F86" s="91"/>
      <c r="G86" s="64"/>
    </row>
    <row r="87" spans="2:19" x14ac:dyDescent="0.25">
      <c r="B87" s="113" t="s">
        <v>951</v>
      </c>
      <c r="C87" s="89">
        <f>COUNTIFS('reductions data'!B:B,'cluster overview'!$B$6,'reductions data'!G:G,'cluster overview'!B87)</f>
        <v>0</v>
      </c>
      <c r="D87" s="90">
        <f>SUMIFS('reductions data'!H:H,'reductions data'!B:B,'cluster overview'!$B$6,'reductions data'!$G:$G,'cluster overview'!B87)</f>
        <v>0</v>
      </c>
      <c r="E87" s="91"/>
      <c r="F87" s="91"/>
      <c r="G87" s="64"/>
    </row>
    <row r="88" spans="2:19" x14ac:dyDescent="0.25">
      <c r="B88" s="113" t="s">
        <v>952</v>
      </c>
      <c r="C88" s="89">
        <f>COUNTIFS('reductions data'!B:B,'cluster overview'!$B$6,'reductions data'!G:G,'cluster overview'!B88)</f>
        <v>0</v>
      </c>
      <c r="D88" s="90">
        <f>SUMIFS('reductions data'!H:H,'reductions data'!B:B,'cluster overview'!$B$6,'reductions data'!$G:$G,'cluster overview'!B88)</f>
        <v>0</v>
      </c>
      <c r="E88" s="91"/>
      <c r="F88" s="91"/>
      <c r="G88" s="64"/>
    </row>
    <row r="89" spans="2:19" x14ac:dyDescent="0.25">
      <c r="B89" s="91"/>
      <c r="C89" s="91"/>
      <c r="D89" s="91"/>
      <c r="E89" s="91"/>
      <c r="F89" s="91"/>
      <c r="G89" s="64"/>
      <c r="S89" s="41"/>
    </row>
    <row r="90" spans="2:19" x14ac:dyDescent="0.25">
      <c r="B90" s="58"/>
      <c r="C90" s="56"/>
      <c r="D90" s="57"/>
      <c r="E90" s="91"/>
      <c r="F90" s="91"/>
      <c r="G90" s="64"/>
    </row>
    <row r="91" spans="2:19" ht="15.75" x14ac:dyDescent="0.25">
      <c r="B91" s="58"/>
      <c r="C91" s="56"/>
      <c r="D91" s="57"/>
      <c r="E91" s="1"/>
      <c r="F91" s="1"/>
    </row>
    <row r="92" spans="2:19" ht="30" customHeight="1" x14ac:dyDescent="0.25">
      <c r="B92" s="21"/>
      <c r="C92" s="445" t="s">
        <v>1086</v>
      </c>
      <c r="D92" s="446"/>
      <c r="E92" s="446"/>
      <c r="F92" s="446"/>
      <c r="G92" s="446"/>
      <c r="H92" s="446"/>
      <c r="I92" s="446"/>
      <c r="J92" s="446"/>
      <c r="K92" s="446"/>
      <c r="L92" s="446"/>
      <c r="M92" s="446"/>
      <c r="N92" s="446"/>
      <c r="O92" s="446"/>
      <c r="P92" s="446"/>
      <c r="Q92" s="446"/>
      <c r="R92" s="446"/>
      <c r="S92" s="280"/>
    </row>
    <row r="93" spans="2:19" ht="26.25" x14ac:dyDescent="0.25">
      <c r="B93" s="337" t="str">
        <f>B6</f>
        <v>Hammersmith, Fulham, Kensington, Chelsea and Westminster</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S93" s="38" t="s">
        <v>1016</v>
      </c>
    </row>
    <row r="94" spans="2:19" x14ac:dyDescent="0.25">
      <c r="B94" s="75" t="s">
        <v>1013</v>
      </c>
      <c r="C94" s="94">
        <f>SUMIFS('caseload data'!E:E,'caseload data'!$B:$B,"custody",'caseload data'!$C:$C,$B$93)</f>
        <v>0</v>
      </c>
      <c r="D94" s="94">
        <f>SUMIFS('caseload data'!F:F,'caseload data'!$B:$B,"custody",'caseload data'!$C:$C,$B$93)</f>
        <v>0</v>
      </c>
      <c r="E94" s="94">
        <f>SUMIFS('caseload data'!G:G,'caseload data'!$B:$B,"custody",'caseload data'!$C:$C,$B$93)</f>
        <v>0</v>
      </c>
      <c r="F94" s="94">
        <f>SUMIFS('caseload data'!H:H,'caseload data'!$B:$B,"custody",'caseload data'!$C:$C,$B$93)</f>
        <v>0</v>
      </c>
      <c r="G94" s="94">
        <f>SUMIFS('caseload data'!I:I,'caseload data'!$B:$B,"custody",'caseload data'!$C:$C,$B$93)</f>
        <v>0</v>
      </c>
      <c r="H94" s="94">
        <f>SUMIFS('caseload data'!J:J,'caseload data'!$B:$B,"custody",'caseload data'!$C:$C,$B$93)</f>
        <v>0</v>
      </c>
      <c r="I94" s="94">
        <f>SUMIFS('caseload data'!K:K,'caseload data'!$B:$B,"custody",'caseload data'!$C:$C,$B$93)</f>
        <v>0</v>
      </c>
      <c r="J94" s="94">
        <f>SUMIFS('caseload data'!L:L,'caseload data'!$B:$B,"custody",'caseload data'!$C:$C,$B$93)</f>
        <v>0</v>
      </c>
      <c r="K94" s="94">
        <f>SUMIFS('caseload data'!M:M,'caseload data'!$B:$B,"custody",'caseload data'!$C:$C,$B$93)</f>
        <v>0</v>
      </c>
      <c r="L94" s="94">
        <f>SUMIFS('caseload data'!N:N,'caseload data'!$B:$B,"custody",'caseload data'!$C:$C,$B$93)</f>
        <v>0</v>
      </c>
      <c r="M94" s="94">
        <f>SUMIFS('caseload data'!O:O,'caseload data'!$B:$B,"custody",'caseload data'!$C:$C,$B$93)</f>
        <v>0</v>
      </c>
      <c r="N94" s="94">
        <f>SUMIFS('caseload data'!P:P,'caseload data'!$B:$B,"custody",'caseload data'!$C:$C,$B$93)</f>
        <v>0</v>
      </c>
      <c r="O94" s="94">
        <f>SUMIFS('caseload data'!Q:Q,'caseload data'!$B:$B,"custody",'caseload data'!$C:$C,$B$93)</f>
        <v>0</v>
      </c>
      <c r="P94" s="94">
        <f>SUMIFS('caseload data'!R:R,'caseload data'!$B:$B,"custody",'caseload data'!$C:$C,$B$93)</f>
        <v>0</v>
      </c>
      <c r="Q94" s="94">
        <f>SUMIFS('caseload data'!S:S,'caseload data'!$B:$B,"custody",'caseload data'!$C:$C,$B$93)</f>
        <v>0</v>
      </c>
      <c r="R94" s="94">
        <f>SUMIFS('caseload data'!T:T,'caseload data'!$B:$B,"custody",'caseload data'!$C:$C,$B$93)</f>
        <v>0</v>
      </c>
      <c r="S94" s="94">
        <f>SUMIFS('caseload data'!$V:$V,'caseload data'!C:C,$B$93,'caseload data'!B:B,"custody")</f>
        <v>0</v>
      </c>
    </row>
    <row r="95" spans="2:19" x14ac:dyDescent="0.25">
      <c r="B95" s="75" t="s">
        <v>1014</v>
      </c>
      <c r="C95" s="75">
        <f>SUMIFS('caseload data'!E:E,'caseload data'!$B:$B,"licence",'caseload data'!$C:$C,$B$93)</f>
        <v>0</v>
      </c>
      <c r="D95" s="75">
        <f>SUMIFS('caseload data'!F:F,'caseload data'!$B:$B,"licence",'caseload data'!$C:$C,$B$93)</f>
        <v>0</v>
      </c>
      <c r="E95" s="75">
        <f>SUMIFS('caseload data'!G:G,'caseload data'!$B:$B,"licence",'caseload data'!$C:$C,$B$93)</f>
        <v>0</v>
      </c>
      <c r="F95" s="75">
        <f>SUMIFS('caseload data'!H:H,'caseload data'!$B:$B,"licence",'caseload data'!$C:$C,$B$93)</f>
        <v>0</v>
      </c>
      <c r="G95" s="75">
        <f>SUMIFS('caseload data'!I:I,'caseload data'!$B:$B,"licence",'caseload data'!$C:$C,$B$93)</f>
        <v>0</v>
      </c>
      <c r="H95" s="75">
        <f>SUMIFS('caseload data'!J:J,'caseload data'!$B:$B,"licence",'caseload data'!$C:$C,$B$93)</f>
        <v>0</v>
      </c>
      <c r="I95" s="75">
        <f>SUMIFS('caseload data'!K:K,'caseload data'!$B:$B,"licence",'caseload data'!$C:$C,$B$93)</f>
        <v>0</v>
      </c>
      <c r="J95" s="75">
        <f>SUMIFS('caseload data'!L:L,'caseload data'!$B:$B,"licence",'caseload data'!$C:$C,$B$93)</f>
        <v>0</v>
      </c>
      <c r="K95" s="75">
        <f>SUMIFS('caseload data'!M:M,'caseload data'!$B:$B,"licence",'caseload data'!$C:$C,$B$93)</f>
        <v>0</v>
      </c>
      <c r="L95" s="75">
        <f>SUMIFS('caseload data'!N:N,'caseload data'!$B:$B,"licence",'caseload data'!$C:$C,$B$93)</f>
        <v>0</v>
      </c>
      <c r="M95" s="75">
        <f>SUMIFS('caseload data'!O:O,'caseload data'!$B:$B,"licence",'caseload data'!$C:$C,$B$93)</f>
        <v>0</v>
      </c>
      <c r="N95" s="75">
        <f>SUMIFS('caseload data'!P:P,'caseload data'!$B:$B,"licence",'caseload data'!$C:$C,$B$93)</f>
        <v>0</v>
      </c>
      <c r="O95" s="75">
        <f>SUMIFS('caseload data'!Q:Q,'caseload data'!$B:$B,"licence",'caseload data'!$C:$C,$B$93)</f>
        <v>0</v>
      </c>
      <c r="P95" s="75">
        <f>SUMIFS('caseload data'!R:R,'caseload data'!$B:$B,"licence",'caseload data'!$C:$C,$B$93)</f>
        <v>0</v>
      </c>
      <c r="Q95" s="75">
        <f>SUMIFS('caseload data'!S:S,'caseload data'!$B:$B,"licence",'caseload data'!$C:$C,$B$93)</f>
        <v>0</v>
      </c>
      <c r="R95" s="75">
        <f>SUMIFS('caseload data'!T:T,'caseload data'!$B:$B,"licence",'caseload data'!$C:$C,$B$93)</f>
        <v>0</v>
      </c>
      <c r="S95" s="75">
        <f>SUMIFS('caseload data'!$V:$V,'caseload data'!C:C,$B$93,'caseload data'!B:B,"licence")</f>
        <v>0</v>
      </c>
    </row>
    <row r="96" spans="2:19" x14ac:dyDescent="0.25">
      <c r="B96" s="75" t="s">
        <v>1015</v>
      </c>
      <c r="C96" s="75">
        <f>SUMIFS('caseload data'!E:E,'caseload data'!$B:$B,"community",'caseload data'!$C:$C,$B$93)</f>
        <v>0</v>
      </c>
      <c r="D96" s="75">
        <f>SUMIFS('caseload data'!F:F,'caseload data'!$B:$B,"community",'caseload data'!$C:$C,$B$93)</f>
        <v>0</v>
      </c>
      <c r="E96" s="75">
        <f>SUMIFS('caseload data'!G:G,'caseload data'!$B:$B,"community",'caseload data'!$C:$C,$B$93)</f>
        <v>0</v>
      </c>
      <c r="F96" s="75">
        <f>SUMIFS('caseload data'!H:H,'caseload data'!$B:$B,"community",'caseload data'!$C:$C,$B$93)</f>
        <v>0</v>
      </c>
      <c r="G96" s="75">
        <f>SUMIFS('caseload data'!I:I,'caseload data'!$B:$B,"community",'caseload data'!$C:$C,$B$93)</f>
        <v>0</v>
      </c>
      <c r="H96" s="75">
        <f>SUMIFS('caseload data'!J:J,'caseload data'!$B:$B,"community",'caseload data'!$C:$C,$B$93)</f>
        <v>0</v>
      </c>
      <c r="I96" s="75">
        <f>SUMIFS('caseload data'!K:K,'caseload data'!$B:$B,"community",'caseload data'!$C:$C,$B$93)</f>
        <v>0</v>
      </c>
      <c r="J96" s="75">
        <f>SUMIFS('caseload data'!L:L,'caseload data'!$B:$B,"community",'caseload data'!$C:$C,$B$93)</f>
        <v>0</v>
      </c>
      <c r="K96" s="75">
        <f>SUMIFS('caseload data'!M:M,'caseload data'!$B:$B,"community",'caseload data'!$C:$C,$B$93)</f>
        <v>0</v>
      </c>
      <c r="L96" s="75">
        <f>SUMIFS('caseload data'!N:N,'caseload data'!$B:$B,"community",'caseload data'!$C:$C,$B$93)</f>
        <v>0</v>
      </c>
      <c r="M96" s="75">
        <f>SUMIFS('caseload data'!O:O,'caseload data'!$B:$B,"community",'caseload data'!$C:$C,$B$93)</f>
        <v>0</v>
      </c>
      <c r="N96" s="75">
        <f>SUMIFS('caseload data'!P:P,'caseload data'!$B:$B,"community",'caseload data'!$C:$C,$B$93)</f>
        <v>0</v>
      </c>
      <c r="O96" s="75">
        <f>SUMIFS('caseload data'!Q:Q,'caseload data'!$B:$B,"community",'caseload data'!$C:$C,$B$93)</f>
        <v>0</v>
      </c>
      <c r="P96" s="75">
        <f>SUMIFS('caseload data'!R:R,'caseload data'!$B:$B,"community",'caseload data'!$C:$C,$B$93)</f>
        <v>0</v>
      </c>
      <c r="Q96" s="75">
        <f>SUMIFS('caseload data'!S:S,'caseload data'!$B:$B,"community",'caseload data'!$C:$C,$B$93)</f>
        <v>0</v>
      </c>
      <c r="R96" s="75">
        <f>SUMIFS('caseload data'!T:T,'caseload data'!$B:$B,"community",'caseload data'!$C:$C,$B$93)</f>
        <v>0</v>
      </c>
      <c r="S96" s="75">
        <f>SUMIFS('caseload data'!$V:$V,'caseload data'!C:C,$B$93,'caseload data'!B:B,"community")</f>
        <v>0</v>
      </c>
    </row>
    <row r="97" spans="2:37" x14ac:dyDescent="0.25">
      <c r="B97" s="110" t="s">
        <v>1016</v>
      </c>
      <c r="C97" s="110">
        <f>SUMIF('caseload data'!$C:$C,$B$93,'caseload data'!E:E)</f>
        <v>0</v>
      </c>
      <c r="D97" s="110">
        <f>SUMIF('caseload data'!$C:$C,$B$93,'caseload data'!F:F)</f>
        <v>0</v>
      </c>
      <c r="E97" s="110">
        <f>SUMIF('caseload data'!$C:$C,$B$93,'caseload data'!G:G)</f>
        <v>0</v>
      </c>
      <c r="F97" s="110">
        <f>SUMIF('caseload data'!$C:$C,$B$93,'caseload data'!H:H)</f>
        <v>0</v>
      </c>
      <c r="G97" s="110">
        <f>SUMIF('caseload data'!$C:$C,$B$93,'caseload data'!I:I)</f>
        <v>0</v>
      </c>
      <c r="H97" s="110">
        <f>SUMIF('caseload data'!$C:$C,$B$93,'caseload data'!J:J)</f>
        <v>0</v>
      </c>
      <c r="I97" s="110">
        <f>SUMIF('caseload data'!$C:$C,$B$93,'caseload data'!K:K)</f>
        <v>0</v>
      </c>
      <c r="J97" s="110">
        <f>SUMIF('caseload data'!$C:$C,$B$93,'caseload data'!L:L)</f>
        <v>0</v>
      </c>
      <c r="K97" s="110">
        <f>SUMIF('caseload data'!$C:$C,$B$93,'caseload data'!M:M)</f>
        <v>0</v>
      </c>
      <c r="L97" s="110">
        <f>SUMIF('caseload data'!$C:$C,$B$93,'caseload data'!N:N)</f>
        <v>0</v>
      </c>
      <c r="M97" s="110">
        <f>SUMIF('caseload data'!$C:$C,$B$93,'caseload data'!O:O)</f>
        <v>0</v>
      </c>
      <c r="N97" s="110">
        <f>SUMIF('caseload data'!$C:$C,$B$93,'caseload data'!P:P)</f>
        <v>0</v>
      </c>
      <c r="O97" s="110">
        <f>SUMIF('caseload data'!$C:$C,$B$93,'caseload data'!Q:Q)</f>
        <v>0</v>
      </c>
      <c r="P97" s="110">
        <f>SUMIF('caseload data'!$C:$C,$B$93,'caseload data'!R:R)</f>
        <v>0</v>
      </c>
      <c r="Q97" s="110">
        <f>SUMIF('caseload data'!$C:$C,$B$93,'caseload data'!S:S)</f>
        <v>0</v>
      </c>
      <c r="R97" s="110">
        <f>SUMIF('caseload data'!$C:$C,$B$93,'caseload data'!T:T)</f>
        <v>0</v>
      </c>
      <c r="S97" s="110">
        <f>SUMIF('caseload data'!C:C,B93,'caseload data'!V:V)</f>
        <v>0</v>
      </c>
    </row>
    <row r="98" spans="2:37" ht="15.75" x14ac:dyDescent="0.25">
      <c r="E98" s="1"/>
      <c r="F98" s="1"/>
    </row>
    <row r="99" spans="2:37" ht="30.75" customHeight="1" x14ac:dyDescent="0.25">
      <c r="B99" s="21"/>
      <c r="C99" s="445" t="s">
        <v>1087</v>
      </c>
      <c r="D99" s="446"/>
      <c r="E99" s="446"/>
      <c r="F99" s="446"/>
      <c r="G99" s="446"/>
      <c r="H99" s="446"/>
      <c r="I99" s="446"/>
      <c r="J99" s="446"/>
      <c r="K99" s="446"/>
      <c r="L99" s="446"/>
      <c r="M99" s="446"/>
      <c r="N99" s="446"/>
      <c r="O99" s="446"/>
      <c r="P99" s="446"/>
      <c r="Q99" s="446"/>
      <c r="R99" s="446"/>
    </row>
    <row r="100" spans="2:37" ht="26.25" x14ac:dyDescent="0.25">
      <c r="B100" s="337" t="str">
        <f>B6</f>
        <v>Hammersmith, Fulham, Kensington, Chelsea and Westminster</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row>
    <row r="101" spans="2:37" x14ac:dyDescent="0.25">
      <c r="B101" s="75" t="s">
        <v>1013</v>
      </c>
      <c r="C101" s="66" t="e">
        <f t="shared" ref="C101:P101" si="0">C94/$S$94</f>
        <v>#DIV/0!</v>
      </c>
      <c r="D101" s="66" t="e">
        <f t="shared" si="0"/>
        <v>#DIV/0!</v>
      </c>
      <c r="E101" s="66" t="e">
        <f t="shared" si="0"/>
        <v>#DIV/0!</v>
      </c>
      <c r="F101" s="66" t="e">
        <f t="shared" si="0"/>
        <v>#DIV/0!</v>
      </c>
      <c r="G101" s="66" t="e">
        <f t="shared" si="0"/>
        <v>#DIV/0!</v>
      </c>
      <c r="H101" s="66" t="e">
        <f t="shared" si="0"/>
        <v>#DIV/0!</v>
      </c>
      <c r="I101" s="66" t="e">
        <f t="shared" si="0"/>
        <v>#DIV/0!</v>
      </c>
      <c r="J101" s="66" t="e">
        <f t="shared" si="0"/>
        <v>#DIV/0!</v>
      </c>
      <c r="K101" s="66" t="e">
        <f t="shared" si="0"/>
        <v>#DIV/0!</v>
      </c>
      <c r="L101" s="66" t="e">
        <f t="shared" si="0"/>
        <v>#DIV/0!</v>
      </c>
      <c r="M101" s="66" t="e">
        <f t="shared" si="0"/>
        <v>#DIV/0!</v>
      </c>
      <c r="N101" s="66" t="e">
        <f t="shared" si="0"/>
        <v>#DIV/0!</v>
      </c>
      <c r="O101" s="66" t="e">
        <f t="shared" si="0"/>
        <v>#DIV/0!</v>
      </c>
      <c r="P101" s="66" t="e">
        <f t="shared" si="0"/>
        <v>#DIV/0!</v>
      </c>
      <c r="Q101" s="66" t="e">
        <f t="shared" ref="Q101:R101" si="1">Q94/$S$94</f>
        <v>#DIV/0!</v>
      </c>
      <c r="R101" s="66" t="e">
        <f t="shared" si="1"/>
        <v>#DIV/0!</v>
      </c>
    </row>
    <row r="102" spans="2:37" x14ac:dyDescent="0.25">
      <c r="B102" s="75" t="s">
        <v>1014</v>
      </c>
      <c r="C102" s="66" t="e">
        <f>C95/$S$94</f>
        <v>#DIV/0!</v>
      </c>
      <c r="D102" s="66" t="e">
        <f t="shared" ref="D102:P102" si="2">D95/$S$95</f>
        <v>#DIV/0!</v>
      </c>
      <c r="E102" s="66" t="e">
        <f t="shared" si="2"/>
        <v>#DIV/0!</v>
      </c>
      <c r="F102" s="66" t="e">
        <f t="shared" si="2"/>
        <v>#DIV/0!</v>
      </c>
      <c r="G102" s="66" t="e">
        <f t="shared" si="2"/>
        <v>#DIV/0!</v>
      </c>
      <c r="H102" s="66" t="e">
        <f t="shared" si="2"/>
        <v>#DIV/0!</v>
      </c>
      <c r="I102" s="66" t="e">
        <f t="shared" si="2"/>
        <v>#DIV/0!</v>
      </c>
      <c r="J102" s="66" t="e">
        <f t="shared" si="2"/>
        <v>#DIV/0!</v>
      </c>
      <c r="K102" s="66" t="e">
        <f t="shared" si="2"/>
        <v>#DIV/0!</v>
      </c>
      <c r="L102" s="66" t="e">
        <f t="shared" si="2"/>
        <v>#DIV/0!</v>
      </c>
      <c r="M102" s="66" t="e">
        <f t="shared" si="2"/>
        <v>#DIV/0!</v>
      </c>
      <c r="N102" s="66" t="e">
        <f t="shared" si="2"/>
        <v>#DIV/0!</v>
      </c>
      <c r="O102" s="66" t="e">
        <f t="shared" si="2"/>
        <v>#DIV/0!</v>
      </c>
      <c r="P102" s="66" t="e">
        <f t="shared" si="2"/>
        <v>#DIV/0!</v>
      </c>
      <c r="Q102" s="66" t="e">
        <f t="shared" ref="Q102:R102" si="3">Q95/$S$95</f>
        <v>#DIV/0!</v>
      </c>
      <c r="R102" s="66" t="e">
        <f t="shared" si="3"/>
        <v>#DIV/0!</v>
      </c>
    </row>
    <row r="103" spans="2:37" ht="15.75" customHeight="1" x14ac:dyDescent="0.25">
      <c r="B103" s="75" t="s">
        <v>1015</v>
      </c>
      <c r="C103" s="66" t="e">
        <f>C96/$S$94</f>
        <v>#DIV/0!</v>
      </c>
      <c r="D103" s="66" t="e">
        <f t="shared" ref="D103:P103" si="4">D96/$S$96</f>
        <v>#DIV/0!</v>
      </c>
      <c r="E103" s="66" t="e">
        <f t="shared" si="4"/>
        <v>#DIV/0!</v>
      </c>
      <c r="F103" s="66" t="e">
        <f t="shared" si="4"/>
        <v>#DIV/0!</v>
      </c>
      <c r="G103" s="66" t="e">
        <f t="shared" si="4"/>
        <v>#DIV/0!</v>
      </c>
      <c r="H103" s="66" t="e">
        <f t="shared" si="4"/>
        <v>#DIV/0!</v>
      </c>
      <c r="I103" s="66" t="e">
        <f t="shared" si="4"/>
        <v>#DIV/0!</v>
      </c>
      <c r="J103" s="66" t="e">
        <f t="shared" si="4"/>
        <v>#DIV/0!</v>
      </c>
      <c r="K103" s="66" t="e">
        <f t="shared" si="4"/>
        <v>#DIV/0!</v>
      </c>
      <c r="L103" s="66" t="e">
        <f t="shared" si="4"/>
        <v>#DIV/0!</v>
      </c>
      <c r="M103" s="66" t="e">
        <f t="shared" si="4"/>
        <v>#DIV/0!</v>
      </c>
      <c r="N103" s="66" t="e">
        <f t="shared" si="4"/>
        <v>#DIV/0!</v>
      </c>
      <c r="O103" s="66" t="e">
        <f t="shared" si="4"/>
        <v>#DIV/0!</v>
      </c>
      <c r="P103" s="66" t="e">
        <f t="shared" si="4"/>
        <v>#DIV/0!</v>
      </c>
      <c r="Q103" s="66" t="e">
        <f t="shared" ref="Q103:R103" si="5">Q96/$S$96</f>
        <v>#DIV/0!</v>
      </c>
      <c r="R103" s="66" t="e">
        <f t="shared" si="5"/>
        <v>#DIV/0!</v>
      </c>
    </row>
    <row r="104" spans="2:37" ht="14.25" customHeight="1" x14ac:dyDescent="0.25">
      <c r="B104" s="110" t="s">
        <v>1016</v>
      </c>
      <c r="C104" s="115" t="e">
        <f t="shared" ref="C104:P104" si="6">C97/$S$97</f>
        <v>#DIV/0!</v>
      </c>
      <c r="D104" s="115" t="e">
        <f t="shared" si="6"/>
        <v>#DIV/0!</v>
      </c>
      <c r="E104" s="115" t="e">
        <f t="shared" si="6"/>
        <v>#DIV/0!</v>
      </c>
      <c r="F104" s="115" t="e">
        <f t="shared" si="6"/>
        <v>#DIV/0!</v>
      </c>
      <c r="G104" s="115" t="e">
        <f t="shared" si="6"/>
        <v>#DIV/0!</v>
      </c>
      <c r="H104" s="115" t="e">
        <f t="shared" si="6"/>
        <v>#DIV/0!</v>
      </c>
      <c r="I104" s="115" t="e">
        <f t="shared" si="6"/>
        <v>#DIV/0!</v>
      </c>
      <c r="J104" s="115" t="e">
        <f t="shared" si="6"/>
        <v>#DIV/0!</v>
      </c>
      <c r="K104" s="115" t="e">
        <f t="shared" si="6"/>
        <v>#DIV/0!</v>
      </c>
      <c r="L104" s="115" t="e">
        <f t="shared" si="6"/>
        <v>#DIV/0!</v>
      </c>
      <c r="M104" s="115" t="e">
        <f t="shared" si="6"/>
        <v>#DIV/0!</v>
      </c>
      <c r="N104" s="115" t="e">
        <f t="shared" si="6"/>
        <v>#DIV/0!</v>
      </c>
      <c r="O104" s="115" t="e">
        <f t="shared" si="6"/>
        <v>#DIV/0!</v>
      </c>
      <c r="P104" s="115" t="e">
        <f t="shared" si="6"/>
        <v>#DIV/0!</v>
      </c>
      <c r="Q104" s="115" t="e">
        <f t="shared" ref="Q104:R104" si="7">Q97/$S$97</f>
        <v>#DIV/0!</v>
      </c>
      <c r="R104" s="115" t="e">
        <f t="shared" si="7"/>
        <v>#DIV/0!</v>
      </c>
    </row>
    <row r="105" spans="2:37" ht="14.25" customHeight="1" x14ac:dyDescent="0.25"/>
    <row r="106" spans="2:37" ht="14.25" customHeight="1" x14ac:dyDescent="0.25"/>
    <row r="107" spans="2:37" ht="14.25" customHeight="1" x14ac:dyDescent="0.25"/>
    <row r="108" spans="2:37" ht="32.25" customHeight="1" x14ac:dyDescent="0.25">
      <c r="B108" s="337" t="str">
        <f>B6</f>
        <v>Hammersmith, Fulham, Kensington, Chelsea and Westminster</v>
      </c>
      <c r="C108" s="445" t="s">
        <v>1020</v>
      </c>
      <c r="D108" s="446"/>
      <c r="E108" s="446"/>
      <c r="F108" s="446"/>
      <c r="G108" s="446"/>
      <c r="H108" s="446"/>
      <c r="I108" s="446"/>
      <c r="J108" s="446"/>
      <c r="K108" s="446"/>
      <c r="L108" s="446"/>
      <c r="M108" s="446"/>
      <c r="N108" s="446"/>
      <c r="O108" s="446"/>
      <c r="P108" s="446"/>
      <c r="Q108" s="446"/>
      <c r="R108" s="446"/>
      <c r="U108" s="114" t="str">
        <f>B6</f>
        <v>Hammersmith, Fulham, Kensington, Chelsea and Westminster</v>
      </c>
      <c r="V108" s="447" t="s">
        <v>1088</v>
      </c>
      <c r="W108" s="448"/>
      <c r="X108" s="448"/>
      <c r="Y108" s="448"/>
      <c r="Z108" s="448"/>
      <c r="AA108" s="448"/>
      <c r="AB108" s="448"/>
      <c r="AC108" s="448"/>
      <c r="AD108" s="448"/>
      <c r="AE108" s="448"/>
      <c r="AF108" s="448"/>
      <c r="AG108" s="448"/>
      <c r="AH108" s="448"/>
      <c r="AI108" s="448"/>
      <c r="AJ108" s="448"/>
      <c r="AK108" s="448"/>
    </row>
    <row r="109" spans="2:37" ht="14.25" customHeight="1" x14ac:dyDescent="0.25">
      <c r="C109" s="38" t="s">
        <v>879</v>
      </c>
      <c r="D109" s="38" t="s">
        <v>880</v>
      </c>
      <c r="E109" s="38" t="s">
        <v>881</v>
      </c>
      <c r="F109" s="38" t="s">
        <v>882</v>
      </c>
      <c r="G109" s="38" t="s">
        <v>883</v>
      </c>
      <c r="H109" s="38" t="s">
        <v>884</v>
      </c>
      <c r="I109" s="38" t="s">
        <v>885</v>
      </c>
      <c r="J109" s="38" t="s">
        <v>886</v>
      </c>
      <c r="K109" s="38" t="s">
        <v>887</v>
      </c>
      <c r="L109" s="38" t="s">
        <v>888</v>
      </c>
      <c r="M109" s="38" t="s">
        <v>889</v>
      </c>
      <c r="N109" s="38" t="s">
        <v>890</v>
      </c>
      <c r="O109" s="38" t="s">
        <v>891</v>
      </c>
      <c r="P109" s="38" t="s">
        <v>892</v>
      </c>
      <c r="Q109" s="38" t="s">
        <v>893</v>
      </c>
      <c r="R109" s="38" t="s">
        <v>894</v>
      </c>
      <c r="U109" s="95" t="s">
        <v>1023</v>
      </c>
      <c r="V109" s="38" t="s">
        <v>879</v>
      </c>
      <c r="W109" s="38" t="s">
        <v>880</v>
      </c>
      <c r="X109" s="38" t="s">
        <v>881</v>
      </c>
      <c r="Y109" s="38" t="s">
        <v>882</v>
      </c>
      <c r="Z109" s="38" t="s">
        <v>883</v>
      </c>
      <c r="AA109" s="38" t="s">
        <v>884</v>
      </c>
      <c r="AB109" s="38" t="s">
        <v>885</v>
      </c>
      <c r="AC109" s="38" t="s">
        <v>886</v>
      </c>
      <c r="AD109" s="38" t="s">
        <v>887</v>
      </c>
      <c r="AE109" s="38" t="s">
        <v>888</v>
      </c>
      <c r="AF109" s="38" t="s">
        <v>889</v>
      </c>
      <c r="AG109" s="38" t="s">
        <v>890</v>
      </c>
      <c r="AH109" s="38" t="s">
        <v>891</v>
      </c>
      <c r="AI109" s="38" t="s">
        <v>892</v>
      </c>
      <c r="AJ109" s="38" t="s">
        <v>893</v>
      </c>
      <c r="AK109" s="38" t="s">
        <v>894</v>
      </c>
    </row>
    <row r="110" spans="2:37" ht="14.25" customHeight="1" x14ac:dyDescent="0.25">
      <c r="B110" s="75" t="s">
        <v>1019</v>
      </c>
      <c r="C110" s="75">
        <f>SUMIFS('caseload data'!E:E,'caseload data'!$D:$D,"PO",'caseload data'!$C:$C,'cluster overview'!$B$108,'caseload data'!$B:$B,"community")</f>
        <v>0</v>
      </c>
      <c r="D110" s="75">
        <f>SUMIFS('caseload data'!F:F,'caseload data'!$D:$D,"PO",'caseload data'!$C:$C,'cluster overview'!$B$108,'caseload data'!$B:$B,"community")</f>
        <v>0</v>
      </c>
      <c r="E110" s="75">
        <f>SUMIFS('caseload data'!G:G,'caseload data'!$D:$D,"PO",'caseload data'!$C:$C,'cluster overview'!$B$108,'caseload data'!$B:$B,"community")</f>
        <v>0</v>
      </c>
      <c r="F110" s="75">
        <f>SUMIFS('caseload data'!H:H,'caseload data'!$D:$D,"PO",'caseload data'!$C:$C,'cluster overview'!$B$108,'caseload data'!$B:$B,"community")</f>
        <v>0</v>
      </c>
      <c r="G110" s="75">
        <f>SUMIFS('caseload data'!I:I,'caseload data'!$D:$D,"PO",'caseload data'!$C:$C,'cluster overview'!$B$108,'caseload data'!$B:$B,"community")</f>
        <v>0</v>
      </c>
      <c r="H110" s="75">
        <f>SUMIFS('caseload data'!J:J,'caseload data'!$D:$D,"PO",'caseload data'!$C:$C,'cluster overview'!$B$108,'caseload data'!$B:$B,"community")</f>
        <v>0</v>
      </c>
      <c r="I110" s="75">
        <f>SUMIFS('caseload data'!K:K,'caseload data'!$D:$D,"PO",'caseload data'!$C:$C,'cluster overview'!$B$108,'caseload data'!$B:$B,"community")</f>
        <v>0</v>
      </c>
      <c r="J110" s="75">
        <f>SUMIFS('caseload data'!L:L,'caseload data'!$D:$D,"PO",'caseload data'!$C:$C,'cluster overview'!$B$108,'caseload data'!$B:$B,"community")</f>
        <v>0</v>
      </c>
      <c r="K110" s="75">
        <f>SUMIFS('caseload data'!M:M,'caseload data'!$D:$D,"PO",'caseload data'!$C:$C,'cluster overview'!$B$108,'caseload data'!$B:$B,"community")</f>
        <v>0</v>
      </c>
      <c r="L110" s="75">
        <f>SUMIFS('caseload data'!N:N,'caseload data'!$D:$D,"PO",'caseload data'!$C:$C,'cluster overview'!$B$108,'caseload data'!$B:$B,"community")</f>
        <v>0</v>
      </c>
      <c r="M110" s="75">
        <f>SUMIFS('caseload data'!O:O,'caseload data'!$D:$D,"PO",'caseload data'!$C:$C,'cluster overview'!$B$108,'caseload data'!$B:$B,"community")</f>
        <v>0</v>
      </c>
      <c r="N110" s="75">
        <f>SUMIFS('caseload data'!P:P,'caseload data'!$D:$D,"PO",'caseload data'!$C:$C,'cluster overview'!$B$108,'caseload data'!$B:$B,"community")</f>
        <v>0</v>
      </c>
      <c r="O110" s="75">
        <f>SUMIFS('caseload data'!Q:Q,'caseload data'!$D:$D,"PO",'caseload data'!$C:$C,'cluster overview'!$B$108,'caseload data'!$B:$B,"community")</f>
        <v>0</v>
      </c>
      <c r="P110" s="75">
        <f>SUMIFS('caseload data'!R:R,'caseload data'!$D:$D,"PO",'caseload data'!$C:$C,'cluster overview'!$B$108,'caseload data'!$B:$B,"community")</f>
        <v>0</v>
      </c>
      <c r="Q110" s="75">
        <f>SUMIFS('caseload data'!S:S,'caseload data'!$D:$D,"PO",'caseload data'!$C:$C,'cluster overview'!$B$108,'caseload data'!$B:$B,"community")</f>
        <v>0</v>
      </c>
      <c r="R110" s="75">
        <f>SUMIFS('caseload data'!T:T,'caseload data'!$D:$D,"PO",'caseload data'!$C:$C,'cluster overview'!$B$108,'caseload data'!$B:$B,"community")</f>
        <v>0</v>
      </c>
      <c r="U110" s="75" t="s">
        <v>1019</v>
      </c>
      <c r="V110" s="67" t="str">
        <f>IFERROR(C$110/SUM(C$110:C$113),"")</f>
        <v/>
      </c>
      <c r="W110" s="67" t="str">
        <f>IFERROR(D$110/SUM(D$110:D$113),"")</f>
        <v/>
      </c>
      <c r="X110" s="67" t="str">
        <f t="shared" ref="X110:AK110" si="8">IFERROR(E$110/SUM(E$110:E$113),"")</f>
        <v/>
      </c>
      <c r="Y110" s="67" t="str">
        <f t="shared" si="8"/>
        <v/>
      </c>
      <c r="Z110" s="67" t="str">
        <f t="shared" si="8"/>
        <v/>
      </c>
      <c r="AA110" s="67" t="str">
        <f t="shared" si="8"/>
        <v/>
      </c>
      <c r="AB110" s="67" t="str">
        <f t="shared" si="8"/>
        <v/>
      </c>
      <c r="AC110" s="67" t="str">
        <f t="shared" si="8"/>
        <v/>
      </c>
      <c r="AD110" s="67" t="str">
        <f t="shared" si="8"/>
        <v/>
      </c>
      <c r="AE110" s="67" t="str">
        <f t="shared" si="8"/>
        <v/>
      </c>
      <c r="AF110" s="67" t="str">
        <f t="shared" si="8"/>
        <v/>
      </c>
      <c r="AG110" s="67" t="str">
        <f t="shared" si="8"/>
        <v/>
      </c>
      <c r="AH110" s="67" t="str">
        <f t="shared" si="8"/>
        <v/>
      </c>
      <c r="AI110" s="67" t="str">
        <f t="shared" si="8"/>
        <v/>
      </c>
      <c r="AJ110" s="67" t="str">
        <f t="shared" si="8"/>
        <v/>
      </c>
      <c r="AK110" s="67" t="str">
        <f t="shared" si="8"/>
        <v/>
      </c>
    </row>
    <row r="111" spans="2:37" ht="14.25" customHeight="1" x14ac:dyDescent="0.25">
      <c r="B111" s="75" t="s">
        <v>1024</v>
      </c>
      <c r="C111" s="75">
        <f>SUMIFS('caseload data'!E:E,'caseload data'!$D:$D,"PSO",'caseload data'!$C:$C,'cluster overview'!$B$108,'caseload data'!$B:$B,"community")</f>
        <v>0</v>
      </c>
      <c r="D111" s="75">
        <f>SUMIFS('caseload data'!F:F,'caseload data'!$D:$D,"PSO",'caseload data'!$C:$C,'cluster overview'!$B$108,'caseload data'!$B:$B,"community")</f>
        <v>0</v>
      </c>
      <c r="E111" s="75">
        <f>SUMIFS('caseload data'!G:G,'caseload data'!$D:$D,"PSO",'caseload data'!$C:$C,'cluster overview'!$B$108,'caseload data'!$B:$B,"community")</f>
        <v>0</v>
      </c>
      <c r="F111" s="75">
        <f>SUMIFS('caseload data'!H:H,'caseload data'!$D:$D,"PSO",'caseload data'!$C:$C,'cluster overview'!$B$108,'caseload data'!$B:$B,"community")</f>
        <v>0</v>
      </c>
      <c r="G111" s="75">
        <f>SUMIFS('caseload data'!I:I,'caseload data'!$D:$D,"PSO",'caseload data'!$C:$C,'cluster overview'!$B$108,'caseload data'!$B:$B,"community")</f>
        <v>0</v>
      </c>
      <c r="H111" s="75">
        <f>SUMIFS('caseload data'!J:J,'caseload data'!$D:$D,"PSO",'caseload data'!$C:$C,'cluster overview'!$B$108,'caseload data'!$B:$B,"community")</f>
        <v>0</v>
      </c>
      <c r="I111" s="75">
        <f>SUMIFS('caseload data'!K:K,'caseload data'!$D:$D,"PSO",'caseload data'!$C:$C,'cluster overview'!$B$108,'caseload data'!$B:$B,"community")</f>
        <v>0</v>
      </c>
      <c r="J111" s="75">
        <f>SUMIFS('caseload data'!L:L,'caseload data'!$D:$D,"PSO",'caseload data'!$C:$C,'cluster overview'!$B$108,'caseload data'!$B:$B,"community")</f>
        <v>0</v>
      </c>
      <c r="K111" s="75">
        <f>SUMIFS('caseload data'!M:M,'caseload data'!$D:$D,"PSO",'caseload data'!$C:$C,'cluster overview'!$B$108,'caseload data'!$B:$B,"community")</f>
        <v>0</v>
      </c>
      <c r="L111" s="75">
        <f>SUMIFS('caseload data'!N:N,'caseload data'!$D:$D,"PSO",'caseload data'!$C:$C,'cluster overview'!$B$108,'caseload data'!$B:$B,"community")</f>
        <v>0</v>
      </c>
      <c r="M111" s="75">
        <f>SUMIFS('caseload data'!O:O,'caseload data'!$D:$D,"PSO",'caseload data'!$C:$C,'cluster overview'!$B$108,'caseload data'!$B:$B,"community")</f>
        <v>0</v>
      </c>
      <c r="N111" s="75">
        <f>SUMIFS('caseload data'!P:P,'caseload data'!$D:$D,"PSO",'caseload data'!$C:$C,'cluster overview'!$B$108,'caseload data'!$B:$B,"community")</f>
        <v>0</v>
      </c>
      <c r="O111" s="75">
        <f>SUMIFS('caseload data'!Q:Q,'caseload data'!$D:$D,"PSO",'caseload data'!$C:$C,'cluster overview'!$B$108,'caseload data'!$B:$B,"community")</f>
        <v>0</v>
      </c>
      <c r="P111" s="75">
        <f>SUMIFS('caseload data'!R:R,'caseload data'!$D:$D,"PSO",'caseload data'!$C:$C,'cluster overview'!$B$108,'caseload data'!$B:$B,"community")</f>
        <v>0</v>
      </c>
      <c r="Q111" s="75">
        <f>SUMIFS('caseload data'!S:S,'caseload data'!$D:$D,"PSO",'caseload data'!$C:$C,'cluster overview'!$B$108,'caseload data'!$B:$B,"community")</f>
        <v>0</v>
      </c>
      <c r="R111" s="75">
        <f>SUMIFS('caseload data'!T:T,'caseload data'!$D:$D,"PSO",'caseload data'!$C:$C,'cluster overview'!$B$108,'caseload data'!$B:$B,"community")</f>
        <v>0</v>
      </c>
      <c r="U111" s="75" t="s">
        <v>1024</v>
      </c>
      <c r="V111" s="67" t="str">
        <f>IFERROR(C$111/SUM(C$110:C$113),"")</f>
        <v/>
      </c>
      <c r="W111" s="67" t="str">
        <f>IFERROR(D$111/SUM(D$110:D$113),"")</f>
        <v/>
      </c>
      <c r="X111" s="67" t="str">
        <f t="shared" ref="X111:AK111" si="9">IFERROR(E$111/SUM(E$110:E$113),"")</f>
        <v/>
      </c>
      <c r="Y111" s="67" t="str">
        <f t="shared" si="9"/>
        <v/>
      </c>
      <c r="Z111" s="67" t="str">
        <f t="shared" si="9"/>
        <v/>
      </c>
      <c r="AA111" s="67" t="str">
        <f t="shared" si="9"/>
        <v/>
      </c>
      <c r="AB111" s="67" t="str">
        <f t="shared" si="9"/>
        <v/>
      </c>
      <c r="AC111" s="67" t="str">
        <f t="shared" si="9"/>
        <v/>
      </c>
      <c r="AD111" s="67" t="str">
        <f t="shared" si="9"/>
        <v/>
      </c>
      <c r="AE111" s="67" t="str">
        <f t="shared" si="9"/>
        <v/>
      </c>
      <c r="AF111" s="67" t="str">
        <f t="shared" si="9"/>
        <v/>
      </c>
      <c r="AG111" s="67" t="str">
        <f t="shared" si="9"/>
        <v/>
      </c>
      <c r="AH111" s="67" t="str">
        <f t="shared" si="9"/>
        <v/>
      </c>
      <c r="AI111" s="67" t="str">
        <f t="shared" si="9"/>
        <v/>
      </c>
      <c r="AJ111" s="67" t="str">
        <f t="shared" si="9"/>
        <v/>
      </c>
      <c r="AK111" s="67" t="str">
        <f t="shared" si="9"/>
        <v/>
      </c>
    </row>
    <row r="112" spans="2:37" ht="14.25" customHeight="1" x14ac:dyDescent="0.25">
      <c r="B112" s="75" t="s">
        <v>1025</v>
      </c>
      <c r="C112" s="75">
        <f>SUMIFS('caseload data'!E:E,'caseload data'!$D:$D,"TPO",'caseload data'!$C:$C,'cluster overview'!$B$108,'caseload data'!$B:$B,"community")</f>
        <v>0</v>
      </c>
      <c r="D112" s="75">
        <f>SUMIFS('caseload data'!F:F,'caseload data'!$D:$D,"TPO",'caseload data'!$C:$C,'cluster overview'!$B$108,'caseload data'!$B:$B,"community")</f>
        <v>0</v>
      </c>
      <c r="E112" s="75">
        <f>SUMIFS('caseload data'!G:G,'caseload data'!$D:$D,"TPO",'caseload data'!$C:$C,'cluster overview'!$B$108,'caseload data'!$B:$B,"community")</f>
        <v>0</v>
      </c>
      <c r="F112" s="75">
        <f>SUMIFS('caseload data'!H:H,'caseload data'!$D:$D,"TPO",'caseload data'!$C:$C,'cluster overview'!$B$108,'caseload data'!$B:$B,"community")</f>
        <v>0</v>
      </c>
      <c r="G112" s="75">
        <f>SUMIFS('caseload data'!I:I,'caseload data'!$D:$D,"TPO",'caseload data'!$C:$C,'cluster overview'!$B$108,'caseload data'!$B:$B,"community")</f>
        <v>0</v>
      </c>
      <c r="H112" s="75">
        <f>SUMIFS('caseload data'!J:J,'caseload data'!$D:$D,"TPO",'caseload data'!$C:$C,'cluster overview'!$B$108,'caseload data'!$B:$B,"community")</f>
        <v>0</v>
      </c>
      <c r="I112" s="75">
        <f>SUMIFS('caseload data'!K:K,'caseload data'!$D:$D,"TPO",'caseload data'!$C:$C,'cluster overview'!$B$108,'caseload data'!$B:$B,"community")</f>
        <v>0</v>
      </c>
      <c r="J112" s="75">
        <f>SUMIFS('caseload data'!L:L,'caseload data'!$D:$D,"TPO",'caseload data'!$C:$C,'cluster overview'!$B$108,'caseload data'!$B:$B,"community")</f>
        <v>0</v>
      </c>
      <c r="K112" s="75">
        <f>SUMIFS('caseload data'!M:M,'caseload data'!$D:$D,"TPO",'caseload data'!$C:$C,'cluster overview'!$B$108,'caseload data'!$B:$B,"community")</f>
        <v>0</v>
      </c>
      <c r="L112" s="75">
        <f>SUMIFS('caseload data'!N:N,'caseload data'!$D:$D,"TPO",'caseload data'!$C:$C,'cluster overview'!$B$108,'caseload data'!$B:$B,"community")</f>
        <v>0</v>
      </c>
      <c r="M112" s="75">
        <f>SUMIFS('caseload data'!O:O,'caseload data'!$D:$D,"TPO",'caseload data'!$C:$C,'cluster overview'!$B$108,'caseload data'!$B:$B,"community")</f>
        <v>0</v>
      </c>
      <c r="N112" s="75">
        <f>SUMIFS('caseload data'!P:P,'caseload data'!$D:$D,"TPO",'caseload data'!$C:$C,'cluster overview'!$B$108,'caseload data'!$B:$B,"community")</f>
        <v>0</v>
      </c>
      <c r="O112" s="75">
        <f>SUMIFS('caseload data'!Q:Q,'caseload data'!$D:$D,"TPO",'caseload data'!$C:$C,'cluster overview'!$B$108,'caseload data'!$B:$B,"community")</f>
        <v>0</v>
      </c>
      <c r="P112" s="75">
        <f>SUMIFS('caseload data'!R:R,'caseload data'!$D:$D,"TPO",'caseload data'!$C:$C,'cluster overview'!$B$108,'caseload data'!$B:$B,"community")</f>
        <v>0</v>
      </c>
      <c r="Q112" s="75">
        <f>SUMIFS('caseload data'!S:S,'caseload data'!$D:$D,"TPO",'caseload data'!$C:$C,'cluster overview'!$B$108,'caseload data'!$B:$B,"community")</f>
        <v>0</v>
      </c>
      <c r="R112" s="75">
        <f>SUMIFS('caseload data'!T:T,'caseload data'!$D:$D,"TPO",'caseload data'!$C:$C,'cluster overview'!$B$108,'caseload data'!$B:$B,"community")</f>
        <v>0</v>
      </c>
      <c r="U112" s="75" t="s">
        <v>1025</v>
      </c>
      <c r="V112" s="67" t="str">
        <f>IFERROR(C$112/SUM(C$110:C$113),"")</f>
        <v/>
      </c>
      <c r="W112" s="67" t="str">
        <f>IFERROR(D$112/SUM(D$110:D$113),"")</f>
        <v/>
      </c>
      <c r="X112" s="67" t="str">
        <f t="shared" ref="X112:AK112" si="10">IFERROR(E$112/SUM(E$110:E$113),"")</f>
        <v/>
      </c>
      <c r="Y112" s="67" t="str">
        <f t="shared" si="10"/>
        <v/>
      </c>
      <c r="Z112" s="67" t="str">
        <f t="shared" si="10"/>
        <v/>
      </c>
      <c r="AA112" s="67" t="str">
        <f t="shared" si="10"/>
        <v/>
      </c>
      <c r="AB112" s="67" t="str">
        <f t="shared" si="10"/>
        <v/>
      </c>
      <c r="AC112" s="67" t="str">
        <f t="shared" si="10"/>
        <v/>
      </c>
      <c r="AD112" s="67" t="str">
        <f t="shared" si="10"/>
        <v/>
      </c>
      <c r="AE112" s="67" t="str">
        <f t="shared" si="10"/>
        <v/>
      </c>
      <c r="AF112" s="67" t="str">
        <f t="shared" si="10"/>
        <v/>
      </c>
      <c r="AG112" s="67" t="str">
        <f t="shared" si="10"/>
        <v/>
      </c>
      <c r="AH112" s="67" t="str">
        <f t="shared" si="10"/>
        <v/>
      </c>
      <c r="AI112" s="67" t="str">
        <f t="shared" si="10"/>
        <v/>
      </c>
      <c r="AJ112" s="67" t="str">
        <f t="shared" si="10"/>
        <v/>
      </c>
      <c r="AK112" s="67" t="str">
        <f t="shared" si="10"/>
        <v/>
      </c>
    </row>
    <row r="113" spans="2:37" ht="14.25" customHeight="1" x14ac:dyDescent="0.25">
      <c r="B113" s="75" t="s">
        <v>1026</v>
      </c>
      <c r="C113" s="75">
        <f>SUMIFS('caseload data'!E:E,'caseload data'!$D:$D,"SPO",'caseload data'!$C:$C,'cluster overview'!$B$108,'caseload data'!$B:$B,"community")</f>
        <v>0</v>
      </c>
      <c r="D113" s="75">
        <f>SUMIFS('caseload data'!F:F,'caseload data'!$D:$D,"SPO",'caseload data'!$C:$C,'cluster overview'!$B$108,'caseload data'!$B:$B,"community")</f>
        <v>0</v>
      </c>
      <c r="E113" s="75">
        <f>SUMIFS('caseload data'!G:G,'caseload data'!$D:$D,"SPO",'caseload data'!$C:$C,'cluster overview'!$B$108,'caseload data'!$B:$B,"community")</f>
        <v>0</v>
      </c>
      <c r="F113" s="75">
        <f>SUMIFS('caseload data'!H:H,'caseload data'!$D:$D,"SPO",'caseload data'!$C:$C,'cluster overview'!$B$108,'caseload data'!$B:$B,"community")</f>
        <v>0</v>
      </c>
      <c r="G113" s="75">
        <f>SUMIFS('caseload data'!I:I,'caseload data'!$D:$D,"SPO",'caseload data'!$C:$C,'cluster overview'!$B$108,'caseload data'!$B:$B,"community")</f>
        <v>0</v>
      </c>
      <c r="H113" s="75">
        <f>SUMIFS('caseload data'!J:J,'caseload data'!$D:$D,"SPO",'caseload data'!$C:$C,'cluster overview'!$B$108,'caseload data'!$B:$B,"community")</f>
        <v>0</v>
      </c>
      <c r="I113" s="75">
        <f>SUMIFS('caseload data'!K:K,'caseload data'!$D:$D,"SPO",'caseload data'!$C:$C,'cluster overview'!$B$108,'caseload data'!$B:$B,"community")</f>
        <v>0</v>
      </c>
      <c r="J113" s="75">
        <f>SUMIFS('caseload data'!L:L,'caseload data'!$D:$D,"SPO",'caseload data'!$C:$C,'cluster overview'!$B$108,'caseload data'!$B:$B,"community")</f>
        <v>0</v>
      </c>
      <c r="K113" s="75">
        <f>SUMIFS('caseload data'!M:M,'caseload data'!$D:$D,"SPO",'caseload data'!$C:$C,'cluster overview'!$B$108,'caseload data'!$B:$B,"community")</f>
        <v>0</v>
      </c>
      <c r="L113" s="75">
        <f>SUMIFS('caseload data'!N:N,'caseload data'!$D:$D,"SPO",'caseload data'!$C:$C,'cluster overview'!$B$108,'caseload data'!$B:$B,"community")</f>
        <v>0</v>
      </c>
      <c r="M113" s="75">
        <f>SUMIFS('caseload data'!O:O,'caseload data'!$D:$D,"SPO",'caseload data'!$C:$C,'cluster overview'!$B$108,'caseload data'!$B:$B,"community")</f>
        <v>0</v>
      </c>
      <c r="N113" s="75">
        <f>SUMIFS('caseload data'!P:P,'caseload data'!$D:$D,"SPO",'caseload data'!$C:$C,'cluster overview'!$B$108,'caseload data'!$B:$B,"community")</f>
        <v>0</v>
      </c>
      <c r="O113" s="75">
        <f>SUMIFS('caseload data'!Q:Q,'caseload data'!$D:$D,"SPO",'caseload data'!$C:$C,'cluster overview'!$B$108,'caseload data'!$B:$B,"community")</f>
        <v>0</v>
      </c>
      <c r="P113" s="75">
        <f>SUMIFS('caseload data'!R:R,'caseload data'!$D:$D,"SPO",'caseload data'!$C:$C,'cluster overview'!$B$108,'caseload data'!$B:$B,"community")</f>
        <v>0</v>
      </c>
      <c r="Q113" s="75">
        <f>SUMIFS('caseload data'!S:S,'caseload data'!$D:$D,"SPO",'caseload data'!$C:$C,'cluster overview'!$B$108,'caseload data'!$B:$B,"community")</f>
        <v>0</v>
      </c>
      <c r="R113" s="75">
        <f>SUMIFS('caseload data'!T:T,'caseload data'!$D:$D,"SPO",'caseload data'!$C:$C,'cluster overview'!$B$108,'caseload data'!$B:$B,"community")</f>
        <v>0</v>
      </c>
      <c r="U113" s="75" t="s">
        <v>1026</v>
      </c>
      <c r="V113" s="67" t="str">
        <f>IFERROR(C$113/SUM(C$110:C$113),"")</f>
        <v/>
      </c>
      <c r="W113" s="67" t="str">
        <f>IFERROR(D$113/SUM(D$110:D$113),"")</f>
        <v/>
      </c>
      <c r="X113" s="67" t="str">
        <f t="shared" ref="X113:AK113" si="11">IFERROR(E$113/SUM(E$110:E$113),"")</f>
        <v/>
      </c>
      <c r="Y113" s="67" t="str">
        <f t="shared" si="11"/>
        <v/>
      </c>
      <c r="Z113" s="67" t="str">
        <f t="shared" si="11"/>
        <v/>
      </c>
      <c r="AA113" s="67" t="str">
        <f t="shared" si="11"/>
        <v/>
      </c>
      <c r="AB113" s="67" t="str">
        <f t="shared" si="11"/>
        <v/>
      </c>
      <c r="AC113" s="67" t="str">
        <f t="shared" si="11"/>
        <v/>
      </c>
      <c r="AD113" s="67" t="str">
        <f t="shared" si="11"/>
        <v/>
      </c>
      <c r="AE113" s="67" t="str">
        <f t="shared" si="11"/>
        <v/>
      </c>
      <c r="AF113" s="67" t="str">
        <f t="shared" si="11"/>
        <v/>
      </c>
      <c r="AG113" s="67" t="str">
        <f t="shared" si="11"/>
        <v/>
      </c>
      <c r="AH113" s="67" t="str">
        <f t="shared" si="11"/>
        <v/>
      </c>
      <c r="AI113" s="67" t="str">
        <f t="shared" si="11"/>
        <v/>
      </c>
      <c r="AJ113" s="67" t="str">
        <f t="shared" si="11"/>
        <v/>
      </c>
      <c r="AK113" s="67" t="str">
        <f t="shared" si="11"/>
        <v/>
      </c>
    </row>
    <row r="114" spans="2:37" ht="14.25" customHeight="1" x14ac:dyDescent="0.25">
      <c r="B114" s="21"/>
    </row>
    <row r="115" spans="2:37" ht="39" customHeight="1" x14ac:dyDescent="0.25">
      <c r="B115" s="337" t="str">
        <f>B6</f>
        <v>Hammersmith, Fulham, Kensington, Chelsea and Westminster</v>
      </c>
      <c r="C115" s="445" t="s">
        <v>1027</v>
      </c>
      <c r="D115" s="446"/>
      <c r="E115" s="446"/>
      <c r="F115" s="446"/>
      <c r="G115" s="446"/>
      <c r="H115" s="446"/>
      <c r="I115" s="446"/>
      <c r="J115" s="446"/>
      <c r="K115" s="446"/>
      <c r="L115" s="446"/>
      <c r="M115" s="446"/>
      <c r="N115" s="446"/>
      <c r="O115" s="446"/>
      <c r="P115" s="446"/>
      <c r="Q115" s="446"/>
      <c r="R115" s="446"/>
      <c r="U115" s="114" t="str">
        <f>B6</f>
        <v>Hammersmith, Fulham, Kensington, Chelsea and Westminster</v>
      </c>
      <c r="V115" s="447" t="s">
        <v>1089</v>
      </c>
      <c r="W115" s="448"/>
      <c r="X115" s="448"/>
      <c r="Y115" s="448"/>
      <c r="Z115" s="448"/>
      <c r="AA115" s="448"/>
      <c r="AB115" s="448"/>
      <c r="AC115" s="448"/>
      <c r="AD115" s="448"/>
      <c r="AE115" s="448"/>
      <c r="AF115" s="448"/>
      <c r="AG115" s="448"/>
      <c r="AH115" s="448"/>
      <c r="AI115" s="448"/>
      <c r="AJ115" s="448"/>
      <c r="AK115" s="448"/>
    </row>
    <row r="116" spans="2:37" ht="14.25" customHeight="1" x14ac:dyDescent="0.25">
      <c r="B116" s="95" t="s">
        <v>1022</v>
      </c>
      <c r="C116" s="38" t="s">
        <v>879</v>
      </c>
      <c r="D116" s="38" t="s">
        <v>880</v>
      </c>
      <c r="E116" s="38" t="s">
        <v>881</v>
      </c>
      <c r="F116" s="38" t="s">
        <v>882</v>
      </c>
      <c r="G116" s="38" t="s">
        <v>883</v>
      </c>
      <c r="H116" s="38" t="s">
        <v>884</v>
      </c>
      <c r="I116" s="38" t="s">
        <v>885</v>
      </c>
      <c r="J116" s="38" t="s">
        <v>886</v>
      </c>
      <c r="K116" s="38" t="s">
        <v>887</v>
      </c>
      <c r="L116" s="38" t="s">
        <v>888</v>
      </c>
      <c r="M116" s="38" t="s">
        <v>889</v>
      </c>
      <c r="N116" s="38" t="s">
        <v>890</v>
      </c>
      <c r="O116" s="38" t="s">
        <v>891</v>
      </c>
      <c r="P116" s="38" t="s">
        <v>892</v>
      </c>
      <c r="Q116" s="38" t="s">
        <v>893</v>
      </c>
      <c r="R116" s="38" t="s">
        <v>894</v>
      </c>
      <c r="U116" s="95" t="s">
        <v>1023</v>
      </c>
      <c r="V116" s="38" t="s">
        <v>879</v>
      </c>
      <c r="W116" s="38" t="s">
        <v>880</v>
      </c>
      <c r="X116" s="38" t="s">
        <v>881</v>
      </c>
      <c r="Y116" s="38" t="s">
        <v>882</v>
      </c>
      <c r="Z116" s="38" t="s">
        <v>883</v>
      </c>
      <c r="AA116" s="38" t="s">
        <v>884</v>
      </c>
      <c r="AB116" s="38" t="s">
        <v>885</v>
      </c>
      <c r="AC116" s="38" t="s">
        <v>886</v>
      </c>
      <c r="AD116" s="38" t="s">
        <v>887</v>
      </c>
      <c r="AE116" s="38" t="s">
        <v>888</v>
      </c>
      <c r="AF116" s="38" t="s">
        <v>889</v>
      </c>
      <c r="AG116" s="38" t="s">
        <v>890</v>
      </c>
      <c r="AH116" s="38" t="s">
        <v>891</v>
      </c>
      <c r="AI116" s="38" t="s">
        <v>892</v>
      </c>
      <c r="AJ116" s="38" t="s">
        <v>893</v>
      </c>
      <c r="AK116" s="38" t="s">
        <v>894</v>
      </c>
    </row>
    <row r="117" spans="2:37" ht="14.25" customHeight="1" x14ac:dyDescent="0.25">
      <c r="B117" s="75" t="s">
        <v>1019</v>
      </c>
      <c r="C117" s="75">
        <f>SUMIFS('caseload data'!E:E,'caseload data'!$D:$D,"PO",'caseload data'!$C:$C,'cluster overview'!$B$108,'caseload data'!$B:$B,"licence")</f>
        <v>0</v>
      </c>
      <c r="D117" s="75">
        <f>SUMIFS('caseload data'!F:F,'caseload data'!$D:$D,"PO",'caseload data'!$C:$C,'cluster overview'!$B$108,'caseload data'!$B:$B,"licence")</f>
        <v>0</v>
      </c>
      <c r="E117" s="75">
        <f>SUMIFS('caseload data'!G:G,'caseload data'!$D:$D,"PO",'caseload data'!$C:$C,'cluster overview'!$B$108,'caseload data'!$B:$B,"licence")</f>
        <v>0</v>
      </c>
      <c r="F117" s="75">
        <f>SUMIFS('caseload data'!H:H,'caseload data'!$D:$D,"PO",'caseload data'!$C:$C,'cluster overview'!$B$108,'caseload data'!$B:$B,"licence")</f>
        <v>0</v>
      </c>
      <c r="G117" s="75">
        <f>SUMIFS('caseload data'!I:I,'caseload data'!$D:$D,"PO",'caseload data'!$C:$C,'cluster overview'!$B$108,'caseload data'!$B:$B,"licence")</f>
        <v>0</v>
      </c>
      <c r="H117" s="75">
        <f>SUMIFS('caseload data'!J:J,'caseload data'!$D:$D,"PO",'caseload data'!$C:$C,'cluster overview'!$B$108,'caseload data'!$B:$B,"licence")</f>
        <v>0</v>
      </c>
      <c r="I117" s="75">
        <f>SUMIFS('caseload data'!K:K,'caseload data'!$D:$D,"PO",'caseload data'!$C:$C,'cluster overview'!$B$108,'caseload data'!$B:$B,"licence")</f>
        <v>0</v>
      </c>
      <c r="J117" s="75">
        <f>SUMIFS('caseload data'!L:L,'caseload data'!$D:$D,"PO",'caseload data'!$C:$C,'cluster overview'!$B$108,'caseload data'!$B:$B,"licence")</f>
        <v>0</v>
      </c>
      <c r="K117" s="75">
        <f>SUMIFS('caseload data'!M:M,'caseload data'!$D:$D,"PO",'caseload data'!$C:$C,'cluster overview'!$B$108,'caseload data'!$B:$B,"licence")</f>
        <v>0</v>
      </c>
      <c r="L117" s="75">
        <f>SUMIFS('caseload data'!N:N,'caseload data'!$D:$D,"PO",'caseload data'!$C:$C,'cluster overview'!$B$108,'caseload data'!$B:$B,"licence")</f>
        <v>0</v>
      </c>
      <c r="M117" s="75">
        <f>SUMIFS('caseload data'!O:O,'caseload data'!$D:$D,"PO",'caseload data'!$C:$C,'cluster overview'!$B$108,'caseload data'!$B:$B,"licence")</f>
        <v>0</v>
      </c>
      <c r="N117" s="75">
        <f>SUMIFS('caseload data'!P:P,'caseload data'!$D:$D,"PO",'caseload data'!$C:$C,'cluster overview'!$B$108,'caseload data'!$B:$B,"licence")</f>
        <v>0</v>
      </c>
      <c r="O117" s="75">
        <f>SUMIFS('caseload data'!Q:Q,'caseload data'!$D:$D,"PO",'caseload data'!$C:$C,'cluster overview'!$B$108,'caseload data'!$B:$B,"licence")</f>
        <v>0</v>
      </c>
      <c r="P117" s="75">
        <f>SUMIFS('caseload data'!R:R,'caseload data'!$D:$D,"PO",'caseload data'!$C:$C,'cluster overview'!$B$108,'caseload data'!$B:$B,"licence")</f>
        <v>0</v>
      </c>
      <c r="Q117" s="75">
        <f>SUMIFS('caseload data'!S:S,'caseload data'!$D:$D,"PO",'caseload data'!$C:$C,'cluster overview'!$B$108,'caseload data'!$B:$B,"licence")</f>
        <v>0</v>
      </c>
      <c r="R117" s="75">
        <f>SUMIFS('caseload data'!T:T,'caseload data'!$D:$D,"PO",'caseload data'!$C:$C,'cluster overview'!$B$108,'caseload data'!$B:$B,"licence")</f>
        <v>0</v>
      </c>
      <c r="U117" s="75" t="s">
        <v>1019</v>
      </c>
      <c r="V117" s="67" t="str">
        <f>IFERROR(C$117/SUM(C$117:C$120),"")</f>
        <v/>
      </c>
      <c r="W117" s="67" t="str">
        <f>IFERROR(D$117/SUM(D$117:D$120),"")</f>
        <v/>
      </c>
      <c r="X117" s="67" t="str">
        <f t="shared" ref="X117:AK117" si="12">IFERROR(E$117/SUM(E$117:E$120),"")</f>
        <v/>
      </c>
      <c r="Y117" s="67" t="str">
        <f t="shared" si="12"/>
        <v/>
      </c>
      <c r="Z117" s="67" t="str">
        <f t="shared" si="12"/>
        <v/>
      </c>
      <c r="AA117" s="67" t="str">
        <f t="shared" si="12"/>
        <v/>
      </c>
      <c r="AB117" s="67" t="str">
        <f t="shared" si="12"/>
        <v/>
      </c>
      <c r="AC117" s="67" t="str">
        <f t="shared" si="12"/>
        <v/>
      </c>
      <c r="AD117" s="67" t="str">
        <f t="shared" si="12"/>
        <v/>
      </c>
      <c r="AE117" s="67" t="str">
        <f t="shared" si="12"/>
        <v/>
      </c>
      <c r="AF117" s="67" t="str">
        <f t="shared" si="12"/>
        <v/>
      </c>
      <c r="AG117" s="67" t="str">
        <f t="shared" si="12"/>
        <v/>
      </c>
      <c r="AH117" s="67" t="str">
        <f t="shared" si="12"/>
        <v/>
      </c>
      <c r="AI117" s="67" t="str">
        <f t="shared" si="12"/>
        <v/>
      </c>
      <c r="AJ117" s="67" t="str">
        <f t="shared" si="12"/>
        <v/>
      </c>
      <c r="AK117" s="67" t="str">
        <f t="shared" si="12"/>
        <v/>
      </c>
    </row>
    <row r="118" spans="2:37" ht="14.25" customHeight="1" x14ac:dyDescent="0.25">
      <c r="B118" s="75" t="s">
        <v>1024</v>
      </c>
      <c r="C118" s="75">
        <f>SUMIFS('caseload data'!E:E,'caseload data'!$D:$D,"PSO",'caseload data'!$C:$C,'cluster overview'!$B$108,'caseload data'!$B:$B,"licence")</f>
        <v>0</v>
      </c>
      <c r="D118" s="75">
        <f>SUMIFS('caseload data'!F:F,'caseload data'!$D:$D,"PSO",'caseload data'!$C:$C,'cluster overview'!$B$108,'caseload data'!$B:$B,"licence")</f>
        <v>0</v>
      </c>
      <c r="E118" s="75">
        <f>SUMIFS('caseload data'!G:G,'caseload data'!$D:$D,"PSO",'caseload data'!$C:$C,'cluster overview'!$B$108,'caseload data'!$B:$B,"licence")</f>
        <v>0</v>
      </c>
      <c r="F118" s="75">
        <f>SUMIFS('caseload data'!H:H,'caseload data'!$D:$D,"PSO",'caseload data'!$C:$C,'cluster overview'!$B$108,'caseload data'!$B:$B,"licence")</f>
        <v>0</v>
      </c>
      <c r="G118" s="75">
        <f>SUMIFS('caseload data'!I:I,'caseload data'!$D:$D,"PSO",'caseload data'!$C:$C,'cluster overview'!$B$108,'caseload data'!$B:$B,"licence")</f>
        <v>0</v>
      </c>
      <c r="H118" s="75">
        <f>SUMIFS('caseload data'!J:J,'caseload data'!$D:$D,"PSO",'caseload data'!$C:$C,'cluster overview'!$B$108,'caseload data'!$B:$B,"licence")</f>
        <v>0</v>
      </c>
      <c r="I118" s="75">
        <f>SUMIFS('caseload data'!K:K,'caseload data'!$D:$D,"PSO",'caseload data'!$C:$C,'cluster overview'!$B$108,'caseload data'!$B:$B,"licence")</f>
        <v>0</v>
      </c>
      <c r="J118" s="75">
        <f>SUMIFS('caseload data'!L:L,'caseload data'!$D:$D,"PSO",'caseload data'!$C:$C,'cluster overview'!$B$108,'caseload data'!$B:$B,"licence")</f>
        <v>0</v>
      </c>
      <c r="K118" s="75">
        <f>SUMIFS('caseload data'!M:M,'caseload data'!$D:$D,"PSO",'caseload data'!$C:$C,'cluster overview'!$B$108,'caseload data'!$B:$B,"licence")</f>
        <v>0</v>
      </c>
      <c r="L118" s="75">
        <f>SUMIFS('caseload data'!N:N,'caseload data'!$D:$D,"PSO",'caseload data'!$C:$C,'cluster overview'!$B$108,'caseload data'!$B:$B,"licence")</f>
        <v>0</v>
      </c>
      <c r="M118" s="75">
        <f>SUMIFS('caseload data'!O:O,'caseload data'!$D:$D,"PSO",'caseload data'!$C:$C,'cluster overview'!$B$108,'caseload data'!$B:$B,"licence")</f>
        <v>0</v>
      </c>
      <c r="N118" s="75">
        <f>SUMIFS('caseload data'!P:P,'caseload data'!$D:$D,"PSO",'caseload data'!$C:$C,'cluster overview'!$B$108,'caseload data'!$B:$B,"licence")</f>
        <v>0</v>
      </c>
      <c r="O118" s="75">
        <f>SUMIFS('caseload data'!Q:Q,'caseload data'!$D:$D,"PSO",'caseload data'!$C:$C,'cluster overview'!$B$108,'caseload data'!$B:$B,"licence")</f>
        <v>0</v>
      </c>
      <c r="P118" s="75">
        <f>SUMIFS('caseload data'!R:R,'caseload data'!$D:$D,"PSO",'caseload data'!$C:$C,'cluster overview'!$B$108,'caseload data'!$B:$B,"licence")</f>
        <v>0</v>
      </c>
      <c r="Q118" s="75">
        <f>SUMIFS('caseload data'!S:S,'caseload data'!$D:$D,"PSO",'caseload data'!$C:$C,'cluster overview'!$B$108,'caseload data'!$B:$B,"licence")</f>
        <v>0</v>
      </c>
      <c r="R118" s="75">
        <f>SUMIFS('caseload data'!T:T,'caseload data'!$D:$D,"PSO",'caseload data'!$C:$C,'cluster overview'!$B$108,'caseload data'!$B:$B,"licence")</f>
        <v>0</v>
      </c>
      <c r="U118" s="75" t="s">
        <v>1024</v>
      </c>
      <c r="V118" s="67" t="str">
        <f>IFERROR(C$118/SUM(C$117:C$120),"")</f>
        <v/>
      </c>
      <c r="W118" s="67" t="str">
        <f>IFERROR(D$118/SUM(D$117:D$120),"")</f>
        <v/>
      </c>
      <c r="X118" s="67" t="str">
        <f t="shared" ref="X118:AK118" si="13">IFERROR(E$118/SUM(E$117:E$120),"")</f>
        <v/>
      </c>
      <c r="Y118" s="67" t="str">
        <f t="shared" si="13"/>
        <v/>
      </c>
      <c r="Z118" s="67" t="str">
        <f t="shared" si="13"/>
        <v/>
      </c>
      <c r="AA118" s="67" t="str">
        <f t="shared" si="13"/>
        <v/>
      </c>
      <c r="AB118" s="67" t="str">
        <f t="shared" si="13"/>
        <v/>
      </c>
      <c r="AC118" s="67" t="str">
        <f t="shared" si="13"/>
        <v/>
      </c>
      <c r="AD118" s="67" t="str">
        <f t="shared" si="13"/>
        <v/>
      </c>
      <c r="AE118" s="67" t="str">
        <f t="shared" si="13"/>
        <v/>
      </c>
      <c r="AF118" s="67" t="str">
        <f t="shared" si="13"/>
        <v/>
      </c>
      <c r="AG118" s="67" t="str">
        <f t="shared" si="13"/>
        <v/>
      </c>
      <c r="AH118" s="67" t="str">
        <f t="shared" si="13"/>
        <v/>
      </c>
      <c r="AI118" s="67" t="str">
        <f t="shared" si="13"/>
        <v/>
      </c>
      <c r="AJ118" s="67" t="str">
        <f t="shared" si="13"/>
        <v/>
      </c>
      <c r="AK118" s="67" t="str">
        <f t="shared" si="13"/>
        <v/>
      </c>
    </row>
    <row r="119" spans="2:37" ht="14.25" customHeight="1" x14ac:dyDescent="0.25">
      <c r="B119" s="75" t="s">
        <v>1025</v>
      </c>
      <c r="C119" s="75">
        <f>SUMIFS('caseload data'!E:E,'caseload data'!$D:$D,"TPO",'caseload data'!$C:$C,'cluster overview'!$B$108,'caseload data'!$B:$B,"licence")</f>
        <v>0</v>
      </c>
      <c r="D119" s="75">
        <f>SUMIFS('caseload data'!F:F,'caseload data'!$D:$D,"TPO",'caseload data'!$C:$C,'cluster overview'!$B$108,'caseload data'!$B:$B,"licence")</f>
        <v>0</v>
      </c>
      <c r="E119" s="75">
        <f>SUMIFS('caseload data'!G:G,'caseload data'!$D:$D,"TPO",'caseload data'!$C:$C,'cluster overview'!$B$108,'caseload data'!$B:$B,"licence")</f>
        <v>0</v>
      </c>
      <c r="F119" s="75">
        <f>SUMIFS('caseload data'!H:H,'caseload data'!$D:$D,"TPO",'caseload data'!$C:$C,'cluster overview'!$B$108,'caseload data'!$B:$B,"licence")</f>
        <v>0</v>
      </c>
      <c r="G119" s="75">
        <f>SUMIFS('caseload data'!I:I,'caseload data'!$D:$D,"TPO",'caseload data'!$C:$C,'cluster overview'!$B$108,'caseload data'!$B:$B,"licence")</f>
        <v>0</v>
      </c>
      <c r="H119" s="75">
        <f>SUMIFS('caseload data'!J:J,'caseload data'!$D:$D,"TPO",'caseload data'!$C:$C,'cluster overview'!$B$108,'caseload data'!$B:$B,"licence")</f>
        <v>0</v>
      </c>
      <c r="I119" s="75">
        <f>SUMIFS('caseload data'!K:K,'caseload data'!$D:$D,"TPO",'caseload data'!$C:$C,'cluster overview'!$B$108,'caseload data'!$B:$B,"licence")</f>
        <v>0</v>
      </c>
      <c r="J119" s="75">
        <f>SUMIFS('caseload data'!L:L,'caseload data'!$D:$D,"TPO",'caseload data'!$C:$C,'cluster overview'!$B$108,'caseload data'!$B:$B,"licence")</f>
        <v>0</v>
      </c>
      <c r="K119" s="75">
        <f>SUMIFS('caseload data'!M:M,'caseload data'!$D:$D,"TPO",'caseload data'!$C:$C,'cluster overview'!$B$108,'caseload data'!$B:$B,"licence")</f>
        <v>0</v>
      </c>
      <c r="L119" s="75">
        <f>SUMIFS('caseload data'!N:N,'caseload data'!$D:$D,"TPO",'caseload data'!$C:$C,'cluster overview'!$B$108,'caseload data'!$B:$B,"licence")</f>
        <v>0</v>
      </c>
      <c r="M119" s="75">
        <f>SUMIFS('caseload data'!O:O,'caseload data'!$D:$D,"TPO",'caseload data'!$C:$C,'cluster overview'!$B$108,'caseload data'!$B:$B,"licence")</f>
        <v>0</v>
      </c>
      <c r="N119" s="75">
        <f>SUMIFS('caseload data'!P:P,'caseload data'!$D:$D,"TPO",'caseload data'!$C:$C,'cluster overview'!$B$108,'caseload data'!$B:$B,"licence")</f>
        <v>0</v>
      </c>
      <c r="O119" s="75">
        <f>SUMIFS('caseload data'!Q:Q,'caseload data'!$D:$D,"TPO",'caseload data'!$C:$C,'cluster overview'!$B$108,'caseload data'!$B:$B,"licence")</f>
        <v>0</v>
      </c>
      <c r="P119" s="75">
        <f>SUMIFS('caseload data'!R:R,'caseload data'!$D:$D,"TPO",'caseload data'!$C:$C,'cluster overview'!$B$108,'caseload data'!$B:$B,"licence")</f>
        <v>0</v>
      </c>
      <c r="Q119" s="75">
        <f>SUMIFS('caseload data'!S:S,'caseload data'!$D:$D,"TPO",'caseload data'!$C:$C,'cluster overview'!$B$108,'caseload data'!$B:$B,"licence")</f>
        <v>0</v>
      </c>
      <c r="R119" s="75">
        <f>SUMIFS('caseload data'!T:T,'caseload data'!$D:$D,"TPO",'caseload data'!$C:$C,'cluster overview'!$B$108,'caseload data'!$B:$B,"licence")</f>
        <v>0</v>
      </c>
      <c r="U119" s="75" t="s">
        <v>1025</v>
      </c>
      <c r="V119" s="67" t="str">
        <f>IFERROR(C$119/SUM(C$117:C$120),"")</f>
        <v/>
      </c>
      <c r="W119" s="67" t="str">
        <f>IFERROR(D$119/SUM(D$117:D$120),"")</f>
        <v/>
      </c>
      <c r="X119" s="67" t="str">
        <f t="shared" ref="X119:AK119" si="14">IFERROR(E$119/SUM(E$117:E$120),"")</f>
        <v/>
      </c>
      <c r="Y119" s="67" t="str">
        <f t="shared" si="14"/>
        <v/>
      </c>
      <c r="Z119" s="67" t="str">
        <f t="shared" si="14"/>
        <v/>
      </c>
      <c r="AA119" s="67" t="str">
        <f t="shared" si="14"/>
        <v/>
      </c>
      <c r="AB119" s="67" t="str">
        <f t="shared" si="14"/>
        <v/>
      </c>
      <c r="AC119" s="67" t="str">
        <f t="shared" si="14"/>
        <v/>
      </c>
      <c r="AD119" s="67" t="str">
        <f t="shared" si="14"/>
        <v/>
      </c>
      <c r="AE119" s="67" t="str">
        <f t="shared" si="14"/>
        <v/>
      </c>
      <c r="AF119" s="67" t="str">
        <f t="shared" si="14"/>
        <v/>
      </c>
      <c r="AG119" s="67" t="str">
        <f t="shared" si="14"/>
        <v/>
      </c>
      <c r="AH119" s="67" t="str">
        <f t="shared" si="14"/>
        <v/>
      </c>
      <c r="AI119" s="67" t="str">
        <f t="shared" si="14"/>
        <v/>
      </c>
      <c r="AJ119" s="67" t="str">
        <f t="shared" si="14"/>
        <v/>
      </c>
      <c r="AK119" s="67" t="str">
        <f t="shared" si="14"/>
        <v/>
      </c>
    </row>
    <row r="120" spans="2:37" ht="14.25" customHeight="1" x14ac:dyDescent="0.25">
      <c r="B120" s="75" t="s">
        <v>1026</v>
      </c>
      <c r="C120" s="75">
        <f>SUMIFS('caseload data'!E:E,'caseload data'!$D:$D,"SPO",'caseload data'!$C:$C,'cluster overview'!$B$108,'caseload data'!$B:$B,"licence")</f>
        <v>0</v>
      </c>
      <c r="D120" s="75">
        <f>SUMIFS('caseload data'!F:F,'caseload data'!$D:$D,"SPO",'caseload data'!$C:$C,'cluster overview'!$B$108,'caseload data'!$B:$B,"licence")</f>
        <v>0</v>
      </c>
      <c r="E120" s="75">
        <f>SUMIFS('caseload data'!G:G,'caseload data'!$D:$D,"SPO",'caseload data'!$C:$C,'cluster overview'!$B$108,'caseload data'!$B:$B,"licence")</f>
        <v>0</v>
      </c>
      <c r="F120" s="75">
        <f>SUMIFS('caseload data'!H:H,'caseload data'!$D:$D,"SPO",'caseload data'!$C:$C,'cluster overview'!$B$108,'caseload data'!$B:$B,"licence")</f>
        <v>0</v>
      </c>
      <c r="G120" s="75">
        <f>SUMIFS('caseload data'!I:I,'caseload data'!$D:$D,"SPO",'caseload data'!$C:$C,'cluster overview'!$B$108,'caseload data'!$B:$B,"licence")</f>
        <v>0</v>
      </c>
      <c r="H120" s="75">
        <f>SUMIFS('caseload data'!J:J,'caseload data'!$D:$D,"SPO",'caseload data'!$C:$C,'cluster overview'!$B$108,'caseload data'!$B:$B,"licence")</f>
        <v>0</v>
      </c>
      <c r="I120" s="75">
        <f>SUMIFS('caseload data'!K:K,'caseload data'!$D:$D,"SPO",'caseload data'!$C:$C,'cluster overview'!$B$108,'caseload data'!$B:$B,"licence")</f>
        <v>0</v>
      </c>
      <c r="J120" s="75">
        <f>SUMIFS('caseload data'!L:L,'caseload data'!$D:$D,"SPO",'caseload data'!$C:$C,'cluster overview'!$B$108,'caseload data'!$B:$B,"licence")</f>
        <v>0</v>
      </c>
      <c r="K120" s="75">
        <f>SUMIFS('caseload data'!M:M,'caseload data'!$D:$D,"SPO",'caseload data'!$C:$C,'cluster overview'!$B$108,'caseload data'!$B:$B,"licence")</f>
        <v>0</v>
      </c>
      <c r="L120" s="75">
        <f>SUMIFS('caseload data'!N:N,'caseload data'!$D:$D,"SPO",'caseload data'!$C:$C,'cluster overview'!$B$108,'caseload data'!$B:$B,"licence")</f>
        <v>0</v>
      </c>
      <c r="M120" s="75">
        <f>SUMIFS('caseload data'!O:O,'caseload data'!$D:$D,"SPO",'caseload data'!$C:$C,'cluster overview'!$B$108,'caseload data'!$B:$B,"licence")</f>
        <v>0</v>
      </c>
      <c r="N120" s="75">
        <f>SUMIFS('caseload data'!P:P,'caseload data'!$D:$D,"SPO",'caseload data'!$C:$C,'cluster overview'!$B$108,'caseload data'!$B:$B,"licence")</f>
        <v>0</v>
      </c>
      <c r="O120" s="75">
        <f>SUMIFS('caseload data'!Q:Q,'caseload data'!$D:$D,"SPO",'caseload data'!$C:$C,'cluster overview'!$B$108,'caseload data'!$B:$B,"licence")</f>
        <v>0</v>
      </c>
      <c r="P120" s="75">
        <f>SUMIFS('caseload data'!R:R,'caseload data'!$D:$D,"SPO",'caseload data'!$C:$C,'cluster overview'!$B$108,'caseload data'!$B:$B,"licence")</f>
        <v>0</v>
      </c>
      <c r="Q120" s="75">
        <f>SUMIFS('caseload data'!S:S,'caseload data'!$D:$D,"SPO",'caseload data'!$C:$C,'cluster overview'!$B$108,'caseload data'!$B:$B,"licence")</f>
        <v>0</v>
      </c>
      <c r="R120" s="75">
        <f>SUMIFS('caseload data'!T:T,'caseload data'!$D:$D,"SPO",'caseload data'!$C:$C,'cluster overview'!$B$108,'caseload data'!$B:$B,"licence")</f>
        <v>0</v>
      </c>
      <c r="U120" s="75" t="s">
        <v>1026</v>
      </c>
      <c r="V120" s="67" t="str">
        <f>IFERROR(C$120/SUM(C$117:C$120),"")</f>
        <v/>
      </c>
      <c r="W120" s="67" t="str">
        <f>IFERROR(D$120/SUM(D$117:D$120),"")</f>
        <v/>
      </c>
      <c r="X120" s="67" t="str">
        <f t="shared" ref="X120:AK120" si="15">IFERROR(E$120/SUM(E$117:E$120),"")</f>
        <v/>
      </c>
      <c r="Y120" s="67" t="str">
        <f t="shared" si="15"/>
        <v/>
      </c>
      <c r="Z120" s="67" t="str">
        <f t="shared" si="15"/>
        <v/>
      </c>
      <c r="AA120" s="67" t="str">
        <f t="shared" si="15"/>
        <v/>
      </c>
      <c r="AB120" s="67" t="str">
        <f t="shared" si="15"/>
        <v/>
      </c>
      <c r="AC120" s="67" t="str">
        <f t="shared" si="15"/>
        <v/>
      </c>
      <c r="AD120" s="67" t="str">
        <f t="shared" si="15"/>
        <v/>
      </c>
      <c r="AE120" s="67" t="str">
        <f t="shared" si="15"/>
        <v/>
      </c>
      <c r="AF120" s="67" t="str">
        <f t="shared" si="15"/>
        <v/>
      </c>
      <c r="AG120" s="67" t="str">
        <f t="shared" si="15"/>
        <v/>
      </c>
      <c r="AH120" s="67" t="str">
        <f t="shared" si="15"/>
        <v/>
      </c>
      <c r="AI120" s="67" t="str">
        <f t="shared" si="15"/>
        <v/>
      </c>
      <c r="AJ120" s="67" t="str">
        <f t="shared" si="15"/>
        <v/>
      </c>
      <c r="AK120" s="67" t="str">
        <f t="shared" si="15"/>
        <v/>
      </c>
    </row>
    <row r="121" spans="2:37" ht="14.25" customHeight="1" x14ac:dyDescent="0.25">
      <c r="B121" s="21"/>
    </row>
    <row r="122" spans="2:37" ht="31.5" customHeight="1" x14ac:dyDescent="0.25">
      <c r="B122" s="337" t="str">
        <f>B6</f>
        <v>Hammersmith, Fulham, Kensington, Chelsea and Westminster</v>
      </c>
      <c r="C122" s="445" t="s">
        <v>1028</v>
      </c>
      <c r="D122" s="446"/>
      <c r="E122" s="446"/>
      <c r="F122" s="446"/>
      <c r="G122" s="446"/>
      <c r="H122" s="446"/>
      <c r="I122" s="446"/>
      <c r="J122" s="446"/>
      <c r="K122" s="446"/>
      <c r="L122" s="446"/>
      <c r="M122" s="446"/>
      <c r="N122" s="446"/>
      <c r="O122" s="446"/>
      <c r="P122" s="446"/>
      <c r="Q122" s="446"/>
      <c r="R122" s="446"/>
      <c r="U122" s="114" t="str">
        <f>B6</f>
        <v>Hammersmith, Fulham, Kensington, Chelsea and Westminster</v>
      </c>
      <c r="V122" s="447" t="s">
        <v>1090</v>
      </c>
      <c r="W122" s="448"/>
      <c r="X122" s="448"/>
      <c r="Y122" s="448"/>
      <c r="Z122" s="448"/>
      <c r="AA122" s="448"/>
      <c r="AB122" s="448"/>
      <c r="AC122" s="448"/>
      <c r="AD122" s="448"/>
      <c r="AE122" s="448"/>
      <c r="AF122" s="448"/>
      <c r="AG122" s="448"/>
      <c r="AH122" s="448"/>
      <c r="AI122" s="448"/>
      <c r="AJ122" s="448"/>
      <c r="AK122" s="448"/>
    </row>
    <row r="123" spans="2:37" ht="14.25" customHeight="1" x14ac:dyDescent="0.25">
      <c r="B123" s="95" t="s">
        <v>1022</v>
      </c>
      <c r="C123" s="38" t="s">
        <v>879</v>
      </c>
      <c r="D123" s="38" t="s">
        <v>880</v>
      </c>
      <c r="E123" s="38" t="s">
        <v>881</v>
      </c>
      <c r="F123" s="38" t="s">
        <v>882</v>
      </c>
      <c r="G123" s="38" t="s">
        <v>883</v>
      </c>
      <c r="H123" s="38" t="s">
        <v>884</v>
      </c>
      <c r="I123" s="38" t="s">
        <v>885</v>
      </c>
      <c r="J123" s="38" t="s">
        <v>886</v>
      </c>
      <c r="K123" s="38" t="s">
        <v>887</v>
      </c>
      <c r="L123" s="38" t="s">
        <v>888</v>
      </c>
      <c r="M123" s="38" t="s">
        <v>889</v>
      </c>
      <c r="N123" s="38" t="s">
        <v>890</v>
      </c>
      <c r="O123" s="38" t="s">
        <v>891</v>
      </c>
      <c r="P123" s="38" t="s">
        <v>892</v>
      </c>
      <c r="Q123" s="38" t="s">
        <v>893</v>
      </c>
      <c r="R123" s="38" t="s">
        <v>894</v>
      </c>
      <c r="U123" s="95" t="s">
        <v>1023</v>
      </c>
      <c r="V123" s="38" t="s">
        <v>879</v>
      </c>
      <c r="W123" s="38" t="s">
        <v>880</v>
      </c>
      <c r="X123" s="38" t="s">
        <v>881</v>
      </c>
      <c r="Y123" s="38" t="s">
        <v>882</v>
      </c>
      <c r="Z123" s="38" t="s">
        <v>883</v>
      </c>
      <c r="AA123" s="38" t="s">
        <v>884</v>
      </c>
      <c r="AB123" s="38" t="s">
        <v>885</v>
      </c>
      <c r="AC123" s="38" t="s">
        <v>886</v>
      </c>
      <c r="AD123" s="38" t="s">
        <v>887</v>
      </c>
      <c r="AE123" s="38" t="s">
        <v>888</v>
      </c>
      <c r="AF123" s="38" t="s">
        <v>889</v>
      </c>
      <c r="AG123" s="38" t="s">
        <v>890</v>
      </c>
      <c r="AH123" s="38" t="s">
        <v>891</v>
      </c>
      <c r="AI123" s="38" t="s">
        <v>892</v>
      </c>
      <c r="AJ123" s="38" t="s">
        <v>893</v>
      </c>
      <c r="AK123" s="38" t="s">
        <v>894</v>
      </c>
    </row>
    <row r="124" spans="2:37" ht="14.25" customHeight="1" x14ac:dyDescent="0.25">
      <c r="B124" s="75" t="s">
        <v>1019</v>
      </c>
      <c r="C124" s="75">
        <f>SUMIFS('caseload data'!E:E,'caseload data'!$D:$D,"PO",'caseload data'!$C:$C,'cluster overview'!$B$108,'caseload data'!$B:$B,"custody")</f>
        <v>0</v>
      </c>
      <c r="D124" s="75">
        <f>SUMIFS('caseload data'!F:F,'caseload data'!$D:$D,"PO",'caseload data'!$C:$C,'cluster overview'!$B$108,'caseload data'!$B:$B,"custody")</f>
        <v>0</v>
      </c>
      <c r="E124" s="75">
        <f>SUMIFS('caseload data'!G:G,'caseload data'!$D:$D,"PO",'caseload data'!$C:$C,'cluster overview'!$B$108,'caseload data'!$B:$B,"custody")</f>
        <v>0</v>
      </c>
      <c r="F124" s="75">
        <f>SUMIFS('caseload data'!H:H,'caseload data'!$D:$D,"PO",'caseload data'!$C:$C,'cluster overview'!$B$108,'caseload data'!$B:$B,"custody")</f>
        <v>0</v>
      </c>
      <c r="G124" s="75">
        <f>SUMIFS('caseload data'!I:I,'caseload data'!$D:$D,"PO",'caseload data'!$C:$C,'cluster overview'!$B$108,'caseload data'!$B:$B,"custody")</f>
        <v>0</v>
      </c>
      <c r="H124" s="75">
        <f>SUMIFS('caseload data'!J:J,'caseload data'!$D:$D,"PO",'caseload data'!$C:$C,'cluster overview'!$B$108,'caseload data'!$B:$B,"custody")</f>
        <v>0</v>
      </c>
      <c r="I124" s="75">
        <f>SUMIFS('caseload data'!K:K,'caseload data'!$D:$D,"PO",'caseload data'!$C:$C,'cluster overview'!$B$108,'caseload data'!$B:$B,"custody")</f>
        <v>0</v>
      </c>
      <c r="J124" s="75">
        <f>SUMIFS('caseload data'!L:L,'caseload data'!$D:$D,"PO",'caseload data'!$C:$C,'cluster overview'!$B$108,'caseload data'!$B:$B,"custody")</f>
        <v>0</v>
      </c>
      <c r="K124" s="75">
        <f>SUMIFS('caseload data'!M:M,'caseload data'!$D:$D,"PO",'caseload data'!$C:$C,'cluster overview'!$B$108,'caseload data'!$B:$B,"custody")</f>
        <v>0</v>
      </c>
      <c r="L124" s="75">
        <f>SUMIFS('caseload data'!N:N,'caseload data'!$D:$D,"PO",'caseload data'!$C:$C,'cluster overview'!$B$108,'caseload data'!$B:$B,"custody")</f>
        <v>0</v>
      </c>
      <c r="M124" s="75">
        <f>SUMIFS('caseload data'!O:O,'caseload data'!$D:$D,"PO",'caseload data'!$C:$C,'cluster overview'!$B$108,'caseload data'!$B:$B,"custody")</f>
        <v>0</v>
      </c>
      <c r="N124" s="75">
        <f>SUMIFS('caseload data'!P:P,'caseload data'!$D:$D,"PO",'caseload data'!$C:$C,'cluster overview'!$B$108,'caseload data'!$B:$B,"custody")</f>
        <v>0</v>
      </c>
      <c r="O124" s="75">
        <f>SUMIFS('caseload data'!Q:Q,'caseload data'!$D:$D,"PO",'caseload data'!$C:$C,'cluster overview'!$B$108,'caseload data'!$B:$B,"custody")</f>
        <v>0</v>
      </c>
      <c r="P124" s="75">
        <f>SUMIFS('caseload data'!R:R,'caseload data'!$D:$D,"PO",'caseload data'!$C:$C,'cluster overview'!$B$108,'caseload data'!$B:$B,"custody")</f>
        <v>0</v>
      </c>
      <c r="Q124" s="75">
        <f>SUMIFS('caseload data'!S:S,'caseload data'!$D:$D,"PO",'caseload data'!$C:$C,'cluster overview'!$B$108,'caseload data'!$B:$B,"custody")</f>
        <v>0</v>
      </c>
      <c r="R124" s="75">
        <f>SUMIFS('caseload data'!T:T,'caseload data'!$D:$D,"PO",'caseload data'!$C:$C,'cluster overview'!$B$108,'caseload data'!$B:$B,"custody")</f>
        <v>0</v>
      </c>
      <c r="U124" s="75" t="s">
        <v>1019</v>
      </c>
      <c r="V124" s="67" t="str">
        <f>IFERROR(C$124/SUM(C$124:C$127),"")</f>
        <v/>
      </c>
      <c r="W124" s="67" t="str">
        <f>IFERROR(D$124/SUM(D$124:D$127),"")</f>
        <v/>
      </c>
      <c r="X124" s="67" t="str">
        <f t="shared" ref="X124:AK124" si="16">IFERROR(E$124/SUM(E$124:E$127),"")</f>
        <v/>
      </c>
      <c r="Y124" s="67" t="str">
        <f t="shared" si="16"/>
        <v/>
      </c>
      <c r="Z124" s="67" t="str">
        <f t="shared" si="16"/>
        <v/>
      </c>
      <c r="AA124" s="67" t="str">
        <f t="shared" si="16"/>
        <v/>
      </c>
      <c r="AB124" s="67" t="str">
        <f t="shared" si="16"/>
        <v/>
      </c>
      <c r="AC124" s="67" t="str">
        <f t="shared" si="16"/>
        <v/>
      </c>
      <c r="AD124" s="67" t="str">
        <f t="shared" si="16"/>
        <v/>
      </c>
      <c r="AE124" s="67" t="str">
        <f t="shared" si="16"/>
        <v/>
      </c>
      <c r="AF124" s="67" t="str">
        <f t="shared" si="16"/>
        <v/>
      </c>
      <c r="AG124" s="67" t="str">
        <f t="shared" si="16"/>
        <v/>
      </c>
      <c r="AH124" s="67" t="str">
        <f t="shared" si="16"/>
        <v/>
      </c>
      <c r="AI124" s="67" t="str">
        <f t="shared" si="16"/>
        <v/>
      </c>
      <c r="AJ124" s="67" t="str">
        <f t="shared" si="16"/>
        <v/>
      </c>
      <c r="AK124" s="67" t="str">
        <f t="shared" si="16"/>
        <v/>
      </c>
    </row>
    <row r="125" spans="2:37" ht="14.25" customHeight="1" x14ac:dyDescent="0.25">
      <c r="B125" s="75" t="s">
        <v>1024</v>
      </c>
      <c r="C125" s="75">
        <f>SUMIFS('caseload data'!E:E,'caseload data'!$D:$D,"PSO",'caseload data'!$C:$C,'cluster overview'!$B$108,'caseload data'!$B:$B,"custody")</f>
        <v>0</v>
      </c>
      <c r="D125" s="75">
        <f>SUMIFS('caseload data'!F:F,'caseload data'!$D:$D,"PSO",'caseload data'!$C:$C,'cluster overview'!$B$108,'caseload data'!$B:$B,"custody")</f>
        <v>0</v>
      </c>
      <c r="E125" s="75">
        <f>SUMIFS('caseload data'!G:G,'caseload data'!$D:$D,"PSO",'caseload data'!$C:$C,'cluster overview'!$B$108,'caseload data'!$B:$B,"custody")</f>
        <v>0</v>
      </c>
      <c r="F125" s="75">
        <f>SUMIFS('caseload data'!H:H,'caseload data'!$D:$D,"PSO",'caseload data'!$C:$C,'cluster overview'!$B$108,'caseload data'!$B:$B,"custody")</f>
        <v>0</v>
      </c>
      <c r="G125" s="75">
        <f>SUMIFS('caseload data'!I:I,'caseload data'!$D:$D,"PSO",'caseload data'!$C:$C,'cluster overview'!$B$108,'caseload data'!$B:$B,"custody")</f>
        <v>0</v>
      </c>
      <c r="H125" s="75">
        <f>SUMIFS('caseload data'!J:J,'caseload data'!$D:$D,"PSO",'caseload data'!$C:$C,'cluster overview'!$B$108,'caseload data'!$B:$B,"custody")</f>
        <v>0</v>
      </c>
      <c r="I125" s="75">
        <f>SUMIFS('caseload data'!K:K,'caseload data'!$D:$D,"PSO",'caseload data'!$C:$C,'cluster overview'!$B$108,'caseload data'!$B:$B,"custody")</f>
        <v>0</v>
      </c>
      <c r="J125" s="75">
        <f>SUMIFS('caseload data'!L:L,'caseload data'!$D:$D,"PSO",'caseload data'!$C:$C,'cluster overview'!$B$108,'caseload data'!$B:$B,"custody")</f>
        <v>0</v>
      </c>
      <c r="K125" s="75">
        <f>SUMIFS('caseload data'!M:M,'caseload data'!$D:$D,"PSO",'caseload data'!$C:$C,'cluster overview'!$B$108,'caseload data'!$B:$B,"custody")</f>
        <v>0</v>
      </c>
      <c r="L125" s="75">
        <f>SUMIFS('caseload data'!N:N,'caseload data'!$D:$D,"PSO",'caseload data'!$C:$C,'cluster overview'!$B$108,'caseload data'!$B:$B,"custody")</f>
        <v>0</v>
      </c>
      <c r="M125" s="75">
        <f>SUMIFS('caseload data'!O:O,'caseload data'!$D:$D,"PSO",'caseload data'!$C:$C,'cluster overview'!$B$108,'caseload data'!$B:$B,"custody")</f>
        <v>0</v>
      </c>
      <c r="N125" s="75">
        <f>SUMIFS('caseload data'!P:P,'caseload data'!$D:$D,"PSO",'caseload data'!$C:$C,'cluster overview'!$B$108,'caseload data'!$B:$B,"custody")</f>
        <v>0</v>
      </c>
      <c r="O125" s="75">
        <f>SUMIFS('caseload data'!Q:Q,'caseload data'!$D:$D,"PSO",'caseload data'!$C:$C,'cluster overview'!$B$108,'caseload data'!$B:$B,"custody")</f>
        <v>0</v>
      </c>
      <c r="P125" s="75">
        <f>SUMIFS('caseload data'!R:R,'caseload data'!$D:$D,"PSO",'caseload data'!$C:$C,'cluster overview'!$B$108,'caseload data'!$B:$B,"custody")</f>
        <v>0</v>
      </c>
      <c r="Q125" s="75">
        <f>SUMIFS('caseload data'!S:S,'caseload data'!$D:$D,"PSO",'caseload data'!$C:$C,'cluster overview'!$B$108,'caseload data'!$B:$B,"custody")</f>
        <v>0</v>
      </c>
      <c r="R125" s="75">
        <f>SUMIFS('caseload data'!T:T,'caseload data'!$D:$D,"PSO",'caseload data'!$C:$C,'cluster overview'!$B$108,'caseload data'!$B:$B,"custody")</f>
        <v>0</v>
      </c>
      <c r="U125" s="75" t="s">
        <v>1024</v>
      </c>
      <c r="V125" s="67" t="str">
        <f>IFERROR(C$125/SUM(C$124:C$127),"")</f>
        <v/>
      </c>
      <c r="W125" s="67" t="str">
        <f>IFERROR(D$125/SUM(D$124:D$127),"")</f>
        <v/>
      </c>
      <c r="X125" s="67" t="str">
        <f t="shared" ref="X125:AK125" si="17">IFERROR(E$125/SUM(E$124:E$127),"")</f>
        <v/>
      </c>
      <c r="Y125" s="67" t="str">
        <f t="shared" si="17"/>
        <v/>
      </c>
      <c r="Z125" s="67" t="str">
        <f t="shared" si="17"/>
        <v/>
      </c>
      <c r="AA125" s="67" t="str">
        <f t="shared" si="17"/>
        <v/>
      </c>
      <c r="AB125" s="67" t="str">
        <f t="shared" si="17"/>
        <v/>
      </c>
      <c r="AC125" s="67" t="str">
        <f t="shared" si="17"/>
        <v/>
      </c>
      <c r="AD125" s="67" t="str">
        <f t="shared" si="17"/>
        <v/>
      </c>
      <c r="AE125" s="67" t="str">
        <f t="shared" si="17"/>
        <v/>
      </c>
      <c r="AF125" s="67" t="str">
        <f t="shared" si="17"/>
        <v/>
      </c>
      <c r="AG125" s="67" t="str">
        <f t="shared" si="17"/>
        <v/>
      </c>
      <c r="AH125" s="67" t="str">
        <f t="shared" si="17"/>
        <v/>
      </c>
      <c r="AI125" s="67" t="str">
        <f t="shared" si="17"/>
        <v/>
      </c>
      <c r="AJ125" s="67" t="str">
        <f t="shared" si="17"/>
        <v/>
      </c>
      <c r="AK125" s="67" t="str">
        <f t="shared" si="17"/>
        <v/>
      </c>
    </row>
    <row r="126" spans="2:37" ht="14.25" customHeight="1" x14ac:dyDescent="0.25">
      <c r="B126" s="75" t="s">
        <v>1025</v>
      </c>
      <c r="C126" s="75">
        <f>SUMIFS('caseload data'!E:E,'caseload data'!$D:$D,"TPO",'caseload data'!$C:$C,'cluster overview'!$B$108,'caseload data'!$B:$B,"custody")</f>
        <v>0</v>
      </c>
      <c r="D126" s="75">
        <f>SUMIFS('caseload data'!F:F,'caseload data'!$D:$D,"TPO",'caseload data'!$C:$C,'cluster overview'!$B$108,'caseload data'!$B:$B,"custody")</f>
        <v>0</v>
      </c>
      <c r="E126" s="75">
        <f>SUMIFS('caseload data'!G:G,'caseload data'!$D:$D,"TPO",'caseload data'!$C:$C,'cluster overview'!$B$108,'caseload data'!$B:$B,"custody")</f>
        <v>0</v>
      </c>
      <c r="F126" s="75">
        <f>SUMIFS('caseload data'!H:H,'caseload data'!$D:$D,"TPO",'caseload data'!$C:$C,'cluster overview'!$B$108,'caseload data'!$B:$B,"custody")</f>
        <v>0</v>
      </c>
      <c r="G126" s="75">
        <f>SUMIFS('caseload data'!I:I,'caseload data'!$D:$D,"TPO",'caseload data'!$C:$C,'cluster overview'!$B$108,'caseload data'!$B:$B,"custody")</f>
        <v>0</v>
      </c>
      <c r="H126" s="75">
        <f>SUMIFS('caseload data'!J:J,'caseload data'!$D:$D,"TPO",'caseload data'!$C:$C,'cluster overview'!$B$108,'caseload data'!$B:$B,"custody")</f>
        <v>0</v>
      </c>
      <c r="I126" s="75">
        <f>SUMIFS('caseload data'!K:K,'caseload data'!$D:$D,"TPO",'caseload data'!$C:$C,'cluster overview'!$B$108,'caseload data'!$B:$B,"custody")</f>
        <v>0</v>
      </c>
      <c r="J126" s="75">
        <f>SUMIFS('caseload data'!L:L,'caseload data'!$D:$D,"TPO",'caseload data'!$C:$C,'cluster overview'!$B$108,'caseload data'!$B:$B,"custody")</f>
        <v>0</v>
      </c>
      <c r="K126" s="75">
        <f>SUMIFS('caseload data'!M:M,'caseload data'!$D:$D,"TPO",'caseload data'!$C:$C,'cluster overview'!$B$108,'caseload data'!$B:$B,"custody")</f>
        <v>0</v>
      </c>
      <c r="L126" s="75">
        <f>SUMIFS('caseload data'!N:N,'caseload data'!$D:$D,"TPO",'caseload data'!$C:$C,'cluster overview'!$B$108,'caseload data'!$B:$B,"custody")</f>
        <v>0</v>
      </c>
      <c r="M126" s="75">
        <f>SUMIFS('caseload data'!O:O,'caseload data'!$D:$D,"TPO",'caseload data'!$C:$C,'cluster overview'!$B$108,'caseload data'!$B:$B,"custody")</f>
        <v>0</v>
      </c>
      <c r="N126" s="75">
        <f>SUMIFS('caseload data'!P:P,'caseload data'!$D:$D,"TPO",'caseload data'!$C:$C,'cluster overview'!$B$108,'caseload data'!$B:$B,"custody")</f>
        <v>0</v>
      </c>
      <c r="O126" s="75">
        <f>SUMIFS('caseload data'!Q:Q,'caseload data'!$D:$D,"TPO",'caseload data'!$C:$C,'cluster overview'!$B$108,'caseload data'!$B:$B,"custody")</f>
        <v>0</v>
      </c>
      <c r="P126" s="75">
        <f>SUMIFS('caseload data'!R:R,'caseload data'!$D:$D,"TPO",'caseload data'!$C:$C,'cluster overview'!$B$108,'caseload data'!$B:$B,"custody")</f>
        <v>0</v>
      </c>
      <c r="Q126" s="75">
        <f>SUMIFS('caseload data'!S:S,'caseload data'!$D:$D,"TPO",'caseload data'!$C:$C,'cluster overview'!$B$108,'caseload data'!$B:$B,"custody")</f>
        <v>0</v>
      </c>
      <c r="R126" s="75">
        <f>SUMIFS('caseload data'!T:T,'caseload data'!$D:$D,"TPO",'caseload data'!$C:$C,'cluster overview'!$B$108,'caseload data'!$B:$B,"custody")</f>
        <v>0</v>
      </c>
      <c r="U126" s="75" t="s">
        <v>1025</v>
      </c>
      <c r="V126" s="67" t="str">
        <f>IFERROR(C$126/SUM(C$124:C$127),"")</f>
        <v/>
      </c>
      <c r="W126" s="67" t="str">
        <f>IFERROR(D$126/SUM(D$124:D$127),"")</f>
        <v/>
      </c>
      <c r="X126" s="67" t="str">
        <f t="shared" ref="X126:AK126" si="18">IFERROR(E$126/SUM(E$124:E$127),"")</f>
        <v/>
      </c>
      <c r="Y126" s="67" t="str">
        <f t="shared" si="18"/>
        <v/>
      </c>
      <c r="Z126" s="67" t="str">
        <f t="shared" si="18"/>
        <v/>
      </c>
      <c r="AA126" s="67" t="str">
        <f t="shared" si="18"/>
        <v/>
      </c>
      <c r="AB126" s="67" t="str">
        <f t="shared" si="18"/>
        <v/>
      </c>
      <c r="AC126" s="67" t="str">
        <f t="shared" si="18"/>
        <v/>
      </c>
      <c r="AD126" s="67" t="str">
        <f t="shared" si="18"/>
        <v/>
      </c>
      <c r="AE126" s="67" t="str">
        <f t="shared" si="18"/>
        <v/>
      </c>
      <c r="AF126" s="67" t="str">
        <f t="shared" si="18"/>
        <v/>
      </c>
      <c r="AG126" s="67" t="str">
        <f t="shared" si="18"/>
        <v/>
      </c>
      <c r="AH126" s="67" t="str">
        <f t="shared" si="18"/>
        <v/>
      </c>
      <c r="AI126" s="67" t="str">
        <f t="shared" si="18"/>
        <v/>
      </c>
      <c r="AJ126" s="67" t="str">
        <f t="shared" si="18"/>
        <v/>
      </c>
      <c r="AK126" s="67" t="str">
        <f t="shared" si="18"/>
        <v/>
      </c>
    </row>
    <row r="127" spans="2:37" ht="14.25" customHeight="1" x14ac:dyDescent="0.25">
      <c r="B127" s="75" t="s">
        <v>1026</v>
      </c>
      <c r="C127" s="75">
        <f>SUMIFS('caseload data'!E:E,'caseload data'!$D:$D,"SPO",'caseload data'!$C:$C,'cluster overview'!$B$108,'caseload data'!$B:$B,"custody")</f>
        <v>0</v>
      </c>
      <c r="D127" s="75">
        <f>SUMIFS('caseload data'!F:F,'caseload data'!$D:$D,"SPO",'caseload data'!$C:$C,'cluster overview'!$B$108,'caseload data'!$B:$B,"custody")</f>
        <v>0</v>
      </c>
      <c r="E127" s="75">
        <f>SUMIFS('caseload data'!G:G,'caseload data'!$D:$D,"SPO",'caseload data'!$C:$C,'cluster overview'!$B$108,'caseload data'!$B:$B,"custody")</f>
        <v>0</v>
      </c>
      <c r="F127" s="75">
        <f>SUMIFS('caseload data'!H:H,'caseload data'!$D:$D,"SPO",'caseload data'!$C:$C,'cluster overview'!$B$108,'caseload data'!$B:$B,"custody")</f>
        <v>0</v>
      </c>
      <c r="G127" s="75">
        <f>SUMIFS('caseload data'!I:I,'caseload data'!$D:$D,"SPO",'caseload data'!$C:$C,'cluster overview'!$B$108,'caseload data'!$B:$B,"custody")</f>
        <v>0</v>
      </c>
      <c r="H127" s="75">
        <f>SUMIFS('caseload data'!J:J,'caseload data'!$D:$D,"SPO",'caseload data'!$C:$C,'cluster overview'!$B$108,'caseload data'!$B:$B,"custody")</f>
        <v>0</v>
      </c>
      <c r="I127" s="75">
        <f>SUMIFS('caseload data'!K:K,'caseload data'!$D:$D,"SPO",'caseload data'!$C:$C,'cluster overview'!$B$108,'caseload data'!$B:$B,"custody")</f>
        <v>0</v>
      </c>
      <c r="J127" s="75">
        <f>SUMIFS('caseload data'!L:L,'caseload data'!$D:$D,"SPO",'caseload data'!$C:$C,'cluster overview'!$B$108,'caseload data'!$B:$B,"custody")</f>
        <v>0</v>
      </c>
      <c r="K127" s="75">
        <f>SUMIFS('caseload data'!M:M,'caseload data'!$D:$D,"SPO",'caseload data'!$C:$C,'cluster overview'!$B$108,'caseload data'!$B:$B,"custody")</f>
        <v>0</v>
      </c>
      <c r="L127" s="75">
        <f>SUMIFS('caseload data'!N:N,'caseload data'!$D:$D,"SPO",'caseload data'!$C:$C,'cluster overview'!$B$108,'caseload data'!$B:$B,"custody")</f>
        <v>0</v>
      </c>
      <c r="M127" s="75">
        <f>SUMIFS('caseload data'!O:O,'caseload data'!$D:$D,"SPO",'caseload data'!$C:$C,'cluster overview'!$B$108,'caseload data'!$B:$B,"custody")</f>
        <v>0</v>
      </c>
      <c r="N127" s="75">
        <f>SUMIFS('caseload data'!P:P,'caseload data'!$D:$D,"SPO",'caseload data'!$C:$C,'cluster overview'!$B$108,'caseload data'!$B:$B,"custody")</f>
        <v>0</v>
      </c>
      <c r="O127" s="75">
        <f>SUMIFS('caseload data'!Q:Q,'caseload data'!$D:$D,"SPO",'caseload data'!$C:$C,'cluster overview'!$B$108,'caseload data'!$B:$B,"custody")</f>
        <v>0</v>
      </c>
      <c r="P127" s="75">
        <f>SUMIFS('caseload data'!R:R,'caseload data'!$D:$D,"SPO",'caseload data'!$C:$C,'cluster overview'!$B$108,'caseload data'!$B:$B,"custody")</f>
        <v>0</v>
      </c>
      <c r="Q127" s="75">
        <f>SUMIFS('caseload data'!S:S,'caseload data'!$D:$D,"SPO",'caseload data'!$C:$C,'cluster overview'!$B$108,'caseload data'!$B:$B,"custody")</f>
        <v>0</v>
      </c>
      <c r="R127" s="75">
        <f>SUMIFS('caseload data'!T:T,'caseload data'!$D:$D,"SPO",'caseload data'!$C:$C,'cluster overview'!$B$108,'caseload data'!$B:$B,"custody")</f>
        <v>0</v>
      </c>
      <c r="U127" s="75" t="s">
        <v>1026</v>
      </c>
      <c r="V127" s="67" t="str">
        <f>IFERROR(C$127/SUM(C$124:C$127),"")</f>
        <v/>
      </c>
      <c r="W127" s="67" t="str">
        <f>IFERROR(D$127/SUM(D$124:D$127),"")</f>
        <v/>
      </c>
      <c r="X127" s="67" t="str">
        <f t="shared" ref="X127:AK127" si="19">IFERROR(E$127/SUM(E$124:E$127),"")</f>
        <v/>
      </c>
      <c r="Y127" s="67" t="str">
        <f t="shared" si="19"/>
        <v/>
      </c>
      <c r="Z127" s="67" t="str">
        <f t="shared" si="19"/>
        <v/>
      </c>
      <c r="AA127" s="67" t="str">
        <f t="shared" si="19"/>
        <v/>
      </c>
      <c r="AB127" s="67" t="str">
        <f t="shared" si="19"/>
        <v/>
      </c>
      <c r="AC127" s="67" t="str">
        <f t="shared" si="19"/>
        <v/>
      </c>
      <c r="AD127" s="67" t="str">
        <f t="shared" si="19"/>
        <v/>
      </c>
      <c r="AE127" s="67" t="str">
        <f t="shared" si="19"/>
        <v/>
      </c>
      <c r="AF127" s="67" t="str">
        <f t="shared" si="19"/>
        <v/>
      </c>
      <c r="AG127" s="67" t="str">
        <f t="shared" si="19"/>
        <v/>
      </c>
      <c r="AH127" s="67" t="str">
        <f t="shared" si="19"/>
        <v/>
      </c>
      <c r="AI127" s="67" t="str">
        <f t="shared" si="19"/>
        <v/>
      </c>
      <c r="AJ127" s="67" t="str">
        <f t="shared" si="19"/>
        <v/>
      </c>
      <c r="AK127" s="67" t="str">
        <f t="shared" si="19"/>
        <v/>
      </c>
    </row>
    <row r="128" spans="2:37" ht="14.25" customHeight="1" x14ac:dyDescent="0.25"/>
    <row r="129" spans="2:37" ht="31.5" customHeight="1" x14ac:dyDescent="0.25">
      <c r="B129" s="337" t="str">
        <f>B6</f>
        <v>Hammersmith, Fulham, Kensington, Chelsea and Westminster</v>
      </c>
      <c r="C129" s="445" t="s">
        <v>1029</v>
      </c>
      <c r="D129" s="446"/>
      <c r="E129" s="446"/>
      <c r="F129" s="446"/>
      <c r="G129" s="446"/>
      <c r="H129" s="446"/>
      <c r="I129" s="446"/>
      <c r="J129" s="446"/>
      <c r="K129" s="446"/>
      <c r="L129" s="446"/>
      <c r="M129" s="446"/>
      <c r="N129" s="446"/>
      <c r="O129" s="446"/>
      <c r="P129" s="446"/>
      <c r="Q129" s="446"/>
      <c r="R129" s="446"/>
      <c r="U129" s="114" t="str">
        <f>B6</f>
        <v>Hammersmith, Fulham, Kensington, Chelsea and Westminster</v>
      </c>
      <c r="V129" s="447" t="s">
        <v>1091</v>
      </c>
      <c r="W129" s="448"/>
      <c r="X129" s="448"/>
      <c r="Y129" s="448"/>
      <c r="Z129" s="448"/>
      <c r="AA129" s="448"/>
      <c r="AB129" s="448"/>
      <c r="AC129" s="448"/>
      <c r="AD129" s="448"/>
      <c r="AE129" s="448"/>
      <c r="AF129" s="448"/>
      <c r="AG129" s="448"/>
      <c r="AH129" s="448"/>
      <c r="AI129" s="448"/>
      <c r="AJ129" s="448"/>
      <c r="AK129" s="448"/>
    </row>
    <row r="130" spans="2:37" ht="14.25" customHeight="1" x14ac:dyDescent="0.25">
      <c r="B130" s="95" t="s">
        <v>1022</v>
      </c>
      <c r="C130" s="38" t="s">
        <v>879</v>
      </c>
      <c r="D130" s="38" t="s">
        <v>880</v>
      </c>
      <c r="E130" s="38" t="s">
        <v>881</v>
      </c>
      <c r="F130" s="38" t="s">
        <v>882</v>
      </c>
      <c r="G130" s="38" t="s">
        <v>883</v>
      </c>
      <c r="H130" s="38" t="s">
        <v>884</v>
      </c>
      <c r="I130" s="38" t="s">
        <v>885</v>
      </c>
      <c r="J130" s="38" t="s">
        <v>886</v>
      </c>
      <c r="K130" s="38" t="s">
        <v>887</v>
      </c>
      <c r="L130" s="38" t="s">
        <v>888</v>
      </c>
      <c r="M130" s="38" t="s">
        <v>889</v>
      </c>
      <c r="N130" s="38" t="s">
        <v>890</v>
      </c>
      <c r="O130" s="38" t="s">
        <v>891</v>
      </c>
      <c r="P130" s="38" t="s">
        <v>892</v>
      </c>
      <c r="Q130" s="38" t="s">
        <v>893</v>
      </c>
      <c r="R130" s="38" t="s">
        <v>894</v>
      </c>
      <c r="U130" s="51" t="s">
        <v>1023</v>
      </c>
      <c r="V130" s="38" t="s">
        <v>879</v>
      </c>
      <c r="W130" s="38" t="s">
        <v>880</v>
      </c>
      <c r="X130" s="38" t="s">
        <v>881</v>
      </c>
      <c r="Y130" s="38" t="s">
        <v>882</v>
      </c>
      <c r="Z130" s="38" t="s">
        <v>883</v>
      </c>
      <c r="AA130" s="38" t="s">
        <v>884</v>
      </c>
      <c r="AB130" s="38" t="s">
        <v>885</v>
      </c>
      <c r="AC130" s="38" t="s">
        <v>886</v>
      </c>
      <c r="AD130" s="38" t="s">
        <v>887</v>
      </c>
      <c r="AE130" s="38" t="s">
        <v>888</v>
      </c>
      <c r="AF130" s="38" t="s">
        <v>889</v>
      </c>
      <c r="AG130" s="38" t="s">
        <v>890</v>
      </c>
      <c r="AH130" s="38" t="s">
        <v>891</v>
      </c>
      <c r="AI130" s="38" t="s">
        <v>892</v>
      </c>
      <c r="AJ130" s="38" t="s">
        <v>893</v>
      </c>
      <c r="AK130" s="38" t="s">
        <v>894</v>
      </c>
    </row>
    <row r="131" spans="2:37" ht="14.25" customHeight="1" x14ac:dyDescent="0.25">
      <c r="B131" s="75" t="s">
        <v>1019</v>
      </c>
      <c r="C131" s="75">
        <f>SUMIFS('caseload data'!E:E,'caseload data'!$D:$D,"PO",'caseload data'!$C:$C,'cluster overview'!$B$115)</f>
        <v>0</v>
      </c>
      <c r="D131" s="75">
        <f>SUMIFS('caseload data'!F:F,'caseload data'!$D:$D,"PO",'caseload data'!$C:$C,'cluster overview'!$B$115)</f>
        <v>0</v>
      </c>
      <c r="E131" s="75">
        <f>SUMIFS('caseload data'!G:G,'caseload data'!$D:$D,"PO",'caseload data'!$C:$C,'cluster overview'!$B$115)</f>
        <v>0</v>
      </c>
      <c r="F131" s="75">
        <f>SUMIFS('caseload data'!H:H,'caseload data'!$D:$D,"PO",'caseload data'!$C:$C,'cluster overview'!$B$115)</f>
        <v>0</v>
      </c>
      <c r="G131" s="75">
        <f>SUMIFS('caseload data'!I:I,'caseload data'!$D:$D,"PO",'caseload data'!$C:$C,'cluster overview'!$B$115)</f>
        <v>0</v>
      </c>
      <c r="H131" s="75">
        <f>SUMIFS('caseload data'!J:J,'caseload data'!$D:$D,"PO",'caseload data'!$C:$C,'cluster overview'!$B$115)</f>
        <v>0</v>
      </c>
      <c r="I131" s="75">
        <f>SUMIFS('caseload data'!K:K,'caseload data'!$D:$D,"PO",'caseload data'!$C:$C,'cluster overview'!$B$115)</f>
        <v>0</v>
      </c>
      <c r="J131" s="75">
        <f>SUMIFS('caseload data'!L:L,'caseload data'!$D:$D,"PO",'caseload data'!$C:$C,'cluster overview'!$B$115)</f>
        <v>0</v>
      </c>
      <c r="K131" s="75">
        <f>SUMIFS('caseload data'!M:M,'caseload data'!$D:$D,"PO",'caseload data'!$C:$C,'cluster overview'!$B$115)</f>
        <v>0</v>
      </c>
      <c r="L131" s="75">
        <f>SUMIFS('caseload data'!N:N,'caseload data'!$D:$D,"PO",'caseload data'!$C:$C,'cluster overview'!$B$115)</f>
        <v>0</v>
      </c>
      <c r="M131" s="75">
        <f>SUMIFS('caseload data'!O:O,'caseload data'!$D:$D,"PO",'caseload data'!$C:$C,'cluster overview'!$B$115)</f>
        <v>0</v>
      </c>
      <c r="N131" s="75">
        <f>SUMIFS('caseload data'!P:P,'caseload data'!$D:$D,"PO",'caseload data'!$C:$C,'cluster overview'!$B$115)</f>
        <v>0</v>
      </c>
      <c r="O131" s="75">
        <f>SUMIFS('caseload data'!Q:Q,'caseload data'!$D:$D,"PO",'caseload data'!$C:$C,'cluster overview'!$B$115)</f>
        <v>0</v>
      </c>
      <c r="P131" s="75">
        <f>SUMIFS('caseload data'!R:R,'caseload data'!$D:$D,"PO",'caseload data'!$C:$C,'cluster overview'!$B$115)</f>
        <v>0</v>
      </c>
      <c r="Q131" s="75">
        <f>SUMIFS('caseload data'!S:S,'caseload data'!$D:$D,"PO",'caseload data'!$C:$C,'cluster overview'!$B$115)</f>
        <v>0</v>
      </c>
      <c r="R131" s="75">
        <f>SUMIFS('caseload data'!T:T,'caseload data'!$D:$D,"PO",'caseload data'!$C:$C,'cluster overview'!$B$115)</f>
        <v>0</v>
      </c>
      <c r="U131" s="75" t="s">
        <v>1019</v>
      </c>
      <c r="V131" s="67" t="str">
        <f>IFERROR(C$131/SUM(C$131:C$134),"")</f>
        <v/>
      </c>
      <c r="W131" s="67" t="str">
        <f>IFERROR(D$131/SUM(D$131:D$134),"")</f>
        <v/>
      </c>
      <c r="X131" s="67" t="str">
        <f t="shared" ref="X131:AK131" si="20">IFERROR(E$131/SUM(E$131:E$134),"")</f>
        <v/>
      </c>
      <c r="Y131" s="67" t="str">
        <f t="shared" si="20"/>
        <v/>
      </c>
      <c r="Z131" s="67" t="str">
        <f t="shared" si="20"/>
        <v/>
      </c>
      <c r="AA131" s="67" t="str">
        <f t="shared" si="20"/>
        <v/>
      </c>
      <c r="AB131" s="67" t="str">
        <f t="shared" si="20"/>
        <v/>
      </c>
      <c r="AC131" s="67" t="str">
        <f t="shared" si="20"/>
        <v/>
      </c>
      <c r="AD131" s="67" t="str">
        <f t="shared" si="20"/>
        <v/>
      </c>
      <c r="AE131" s="67" t="str">
        <f t="shared" si="20"/>
        <v/>
      </c>
      <c r="AF131" s="67" t="str">
        <f t="shared" si="20"/>
        <v/>
      </c>
      <c r="AG131" s="67" t="str">
        <f t="shared" si="20"/>
        <v/>
      </c>
      <c r="AH131" s="67" t="str">
        <f t="shared" si="20"/>
        <v/>
      </c>
      <c r="AI131" s="67" t="str">
        <f t="shared" si="20"/>
        <v/>
      </c>
      <c r="AJ131" s="67" t="str">
        <f t="shared" si="20"/>
        <v/>
      </c>
      <c r="AK131" s="67" t="str">
        <f t="shared" si="20"/>
        <v/>
      </c>
    </row>
    <row r="132" spans="2:37" ht="14.25" customHeight="1" x14ac:dyDescent="0.25">
      <c r="B132" s="75" t="s">
        <v>1024</v>
      </c>
      <c r="C132" s="75">
        <f>SUMIFS('caseload data'!E:E,'caseload data'!$D:$D,"PSO",'caseload data'!$C:$C,'cluster overview'!$B$115)</f>
        <v>0</v>
      </c>
      <c r="D132" s="75">
        <f>SUMIFS('caseload data'!F:F,'caseload data'!$D:$D,"PSO",'caseload data'!$C:$C,'cluster overview'!$B$115)</f>
        <v>0</v>
      </c>
      <c r="E132" s="75">
        <f>SUMIFS('caseload data'!G:G,'caseload data'!$D:$D,"PSO",'caseload data'!$C:$C,'cluster overview'!$B$115)</f>
        <v>0</v>
      </c>
      <c r="F132" s="75">
        <f>SUMIFS('caseload data'!H:H,'caseload data'!$D:$D,"PSO",'caseload data'!$C:$C,'cluster overview'!$B$115)</f>
        <v>0</v>
      </c>
      <c r="G132" s="75">
        <f>SUMIFS('caseload data'!I:I,'caseload data'!$D:$D,"PSO",'caseload data'!$C:$C,'cluster overview'!$B$115)</f>
        <v>0</v>
      </c>
      <c r="H132" s="75">
        <f>SUMIFS('caseload data'!J:J,'caseload data'!$D:$D,"PSO",'caseload data'!$C:$C,'cluster overview'!$B$115)</f>
        <v>0</v>
      </c>
      <c r="I132" s="75">
        <f>SUMIFS('caseload data'!K:K,'caseload data'!$D:$D,"PSO",'caseload data'!$C:$C,'cluster overview'!$B$115)</f>
        <v>0</v>
      </c>
      <c r="J132" s="75">
        <f>SUMIFS('caseload data'!L:L,'caseload data'!$D:$D,"PSO",'caseload data'!$C:$C,'cluster overview'!$B$115)</f>
        <v>0</v>
      </c>
      <c r="K132" s="75">
        <f>SUMIFS('caseload data'!M:M,'caseload data'!$D:$D,"PSO",'caseload data'!$C:$C,'cluster overview'!$B$115)</f>
        <v>0</v>
      </c>
      <c r="L132" s="75">
        <f>SUMIFS('caseload data'!N:N,'caseload data'!$D:$D,"PSO",'caseload data'!$C:$C,'cluster overview'!$B$115)</f>
        <v>0</v>
      </c>
      <c r="M132" s="75">
        <f>SUMIFS('caseload data'!O:O,'caseload data'!$D:$D,"PSO",'caseload data'!$C:$C,'cluster overview'!$B$115)</f>
        <v>0</v>
      </c>
      <c r="N132" s="75">
        <f>SUMIFS('caseload data'!P:P,'caseload data'!$D:$D,"PSO",'caseload data'!$C:$C,'cluster overview'!$B$115)</f>
        <v>0</v>
      </c>
      <c r="O132" s="75">
        <f>SUMIFS('caseload data'!Q:Q,'caseload data'!$D:$D,"PSO",'caseload data'!$C:$C,'cluster overview'!$B$115)</f>
        <v>0</v>
      </c>
      <c r="P132" s="75">
        <f>SUMIFS('caseload data'!R:R,'caseload data'!$D:$D,"PSO",'caseload data'!$C:$C,'cluster overview'!$B$115)</f>
        <v>0</v>
      </c>
      <c r="Q132" s="75">
        <f>SUMIFS('caseload data'!S:S,'caseload data'!$D:$D,"PSO",'caseload data'!$C:$C,'cluster overview'!$B$115)</f>
        <v>0</v>
      </c>
      <c r="R132" s="75">
        <f>SUMIFS('caseload data'!T:T,'caseload data'!$D:$D,"PSO",'caseload data'!$C:$C,'cluster overview'!$B$115)</f>
        <v>0</v>
      </c>
      <c r="U132" s="75" t="s">
        <v>1024</v>
      </c>
      <c r="V132" s="67" t="str">
        <f>IFERROR(C$132/SUM(C$131:C$134),"")</f>
        <v/>
      </c>
      <c r="W132" s="67" t="str">
        <f>IFERROR(D$132/SUM(D$131:D$134),"")</f>
        <v/>
      </c>
      <c r="X132" s="67" t="str">
        <f t="shared" ref="X132:AK132" si="21">IFERROR(E$132/SUM(E$131:E$134),"")</f>
        <v/>
      </c>
      <c r="Y132" s="67" t="str">
        <f t="shared" si="21"/>
        <v/>
      </c>
      <c r="Z132" s="67" t="str">
        <f t="shared" si="21"/>
        <v/>
      </c>
      <c r="AA132" s="67" t="str">
        <f t="shared" si="21"/>
        <v/>
      </c>
      <c r="AB132" s="67" t="str">
        <f t="shared" si="21"/>
        <v/>
      </c>
      <c r="AC132" s="67" t="str">
        <f t="shared" si="21"/>
        <v/>
      </c>
      <c r="AD132" s="67" t="str">
        <f t="shared" si="21"/>
        <v/>
      </c>
      <c r="AE132" s="67" t="str">
        <f t="shared" si="21"/>
        <v/>
      </c>
      <c r="AF132" s="67" t="str">
        <f t="shared" si="21"/>
        <v/>
      </c>
      <c r="AG132" s="67" t="str">
        <f t="shared" si="21"/>
        <v/>
      </c>
      <c r="AH132" s="67" t="str">
        <f t="shared" si="21"/>
        <v/>
      </c>
      <c r="AI132" s="67" t="str">
        <f t="shared" si="21"/>
        <v/>
      </c>
      <c r="AJ132" s="67" t="str">
        <f t="shared" si="21"/>
        <v/>
      </c>
      <c r="AK132" s="67" t="str">
        <f t="shared" si="21"/>
        <v/>
      </c>
    </row>
    <row r="133" spans="2:37" ht="14.25" customHeight="1" x14ac:dyDescent="0.25">
      <c r="B133" s="75" t="s">
        <v>1025</v>
      </c>
      <c r="C133" s="75">
        <f>SUMIFS('caseload data'!E:E,'caseload data'!$D:$D,"TPO",'caseload data'!$C:$C,'cluster overview'!$B$115)</f>
        <v>0</v>
      </c>
      <c r="D133" s="75">
        <f>SUMIFS('caseload data'!F:F,'caseload data'!$D:$D,"TPO",'caseload data'!$C:$C,'cluster overview'!$B$115)</f>
        <v>0</v>
      </c>
      <c r="E133" s="75">
        <f>SUMIFS('caseload data'!G:G,'caseload data'!$D:$D,"TPO",'caseload data'!$C:$C,'cluster overview'!$B$115)</f>
        <v>0</v>
      </c>
      <c r="F133" s="75">
        <f>SUMIFS('caseload data'!H:H,'caseload data'!$D:$D,"TPO",'caseload data'!$C:$C,'cluster overview'!$B$115)</f>
        <v>0</v>
      </c>
      <c r="G133" s="75">
        <f>SUMIFS('caseload data'!I:I,'caseload data'!$D:$D,"TPO",'caseload data'!$C:$C,'cluster overview'!$B$115)</f>
        <v>0</v>
      </c>
      <c r="H133" s="75">
        <f>SUMIFS('caseload data'!J:J,'caseload data'!$D:$D,"TPO",'caseload data'!$C:$C,'cluster overview'!$B$115)</f>
        <v>0</v>
      </c>
      <c r="I133" s="75">
        <f>SUMIFS('caseload data'!K:K,'caseload data'!$D:$D,"TPO",'caseload data'!$C:$C,'cluster overview'!$B$115)</f>
        <v>0</v>
      </c>
      <c r="J133" s="75">
        <f>SUMIFS('caseload data'!L:L,'caseload data'!$D:$D,"TPO",'caseload data'!$C:$C,'cluster overview'!$B$115)</f>
        <v>0</v>
      </c>
      <c r="K133" s="75">
        <f>SUMIFS('caseload data'!M:M,'caseload data'!$D:$D,"TPO",'caseload data'!$C:$C,'cluster overview'!$B$115)</f>
        <v>0</v>
      </c>
      <c r="L133" s="75">
        <f>SUMIFS('caseload data'!N:N,'caseload data'!$D:$D,"TPO",'caseload data'!$C:$C,'cluster overview'!$B$115)</f>
        <v>0</v>
      </c>
      <c r="M133" s="75">
        <f>SUMIFS('caseload data'!O:O,'caseload data'!$D:$D,"TPO",'caseload data'!$C:$C,'cluster overview'!$B$115)</f>
        <v>0</v>
      </c>
      <c r="N133" s="75">
        <f>SUMIFS('caseload data'!P:P,'caseload data'!$D:$D,"TPO",'caseload data'!$C:$C,'cluster overview'!$B$115)</f>
        <v>0</v>
      </c>
      <c r="O133" s="75">
        <f>SUMIFS('caseload data'!Q:Q,'caseload data'!$D:$D,"TPO",'caseload data'!$C:$C,'cluster overview'!$B$115)</f>
        <v>0</v>
      </c>
      <c r="P133" s="75">
        <f>SUMIFS('caseload data'!R:R,'caseload data'!$D:$D,"TPO",'caseload data'!$C:$C,'cluster overview'!$B$115)</f>
        <v>0</v>
      </c>
      <c r="Q133" s="75">
        <f>SUMIFS('caseload data'!S:S,'caseload data'!$D:$D,"TPO",'caseload data'!$C:$C,'cluster overview'!$B$115)</f>
        <v>0</v>
      </c>
      <c r="R133" s="75">
        <f>SUMIFS('caseload data'!T:T,'caseload data'!$D:$D,"TPO",'caseload data'!$C:$C,'cluster overview'!$B$115)</f>
        <v>0</v>
      </c>
      <c r="U133" s="75" t="s">
        <v>1025</v>
      </c>
      <c r="V133" s="67" t="str">
        <f>IFERROR(C$133/SUM(C$131:C$134),"")</f>
        <v/>
      </c>
      <c r="W133" s="67" t="str">
        <f>IFERROR(D$133/SUM(D$131:D$134),"")</f>
        <v/>
      </c>
      <c r="X133" s="67" t="str">
        <f t="shared" ref="X133:AK133" si="22">IFERROR(E$133/SUM(E$131:E$134),"")</f>
        <v/>
      </c>
      <c r="Y133" s="67" t="str">
        <f t="shared" si="22"/>
        <v/>
      </c>
      <c r="Z133" s="67" t="str">
        <f t="shared" si="22"/>
        <v/>
      </c>
      <c r="AA133" s="67" t="str">
        <f t="shared" si="22"/>
        <v/>
      </c>
      <c r="AB133" s="67" t="str">
        <f t="shared" si="22"/>
        <v/>
      </c>
      <c r="AC133" s="67" t="str">
        <f t="shared" si="22"/>
        <v/>
      </c>
      <c r="AD133" s="67" t="str">
        <f t="shared" si="22"/>
        <v/>
      </c>
      <c r="AE133" s="67" t="str">
        <f t="shared" si="22"/>
        <v/>
      </c>
      <c r="AF133" s="67" t="str">
        <f t="shared" si="22"/>
        <v/>
      </c>
      <c r="AG133" s="67" t="str">
        <f t="shared" si="22"/>
        <v/>
      </c>
      <c r="AH133" s="67" t="str">
        <f t="shared" si="22"/>
        <v/>
      </c>
      <c r="AI133" s="67" t="str">
        <f t="shared" si="22"/>
        <v/>
      </c>
      <c r="AJ133" s="67" t="str">
        <f t="shared" si="22"/>
        <v/>
      </c>
      <c r="AK133" s="67" t="str">
        <f t="shared" si="22"/>
        <v/>
      </c>
    </row>
    <row r="134" spans="2:37" ht="14.25" customHeight="1" x14ac:dyDescent="0.25">
      <c r="B134" s="75" t="s">
        <v>1026</v>
      </c>
      <c r="C134" s="75">
        <f>SUMIFS('caseload data'!E:E,'caseload data'!$D:$D,"SPO",'caseload data'!$C:$C,'cluster overview'!$B$115)</f>
        <v>0</v>
      </c>
      <c r="D134" s="75">
        <f>SUMIFS('caseload data'!F:F,'caseload data'!$D:$D,"SPO",'caseload data'!$C:$C,'cluster overview'!$B$115)</f>
        <v>0</v>
      </c>
      <c r="E134" s="75">
        <f>SUMIFS('caseload data'!G:G,'caseload data'!$D:$D,"SPO",'caseload data'!$C:$C,'cluster overview'!$B$115)</f>
        <v>0</v>
      </c>
      <c r="F134" s="75">
        <f>SUMIFS('caseload data'!H:H,'caseload data'!$D:$D,"SPO",'caseload data'!$C:$C,'cluster overview'!$B$115)</f>
        <v>0</v>
      </c>
      <c r="G134" s="75">
        <f>SUMIFS('caseload data'!I:I,'caseload data'!$D:$D,"SPO",'caseload data'!$C:$C,'cluster overview'!$B$115)</f>
        <v>0</v>
      </c>
      <c r="H134" s="75">
        <f>SUMIFS('caseload data'!J:J,'caseload data'!$D:$D,"SPO",'caseload data'!$C:$C,'cluster overview'!$B$115)</f>
        <v>0</v>
      </c>
      <c r="I134" s="75">
        <f>SUMIFS('caseload data'!K:K,'caseload data'!$D:$D,"SPO",'caseload data'!$C:$C,'cluster overview'!$B$115)</f>
        <v>0</v>
      </c>
      <c r="J134" s="75">
        <f>SUMIFS('caseload data'!L:L,'caseload data'!$D:$D,"SPO",'caseload data'!$C:$C,'cluster overview'!$B$115)</f>
        <v>0</v>
      </c>
      <c r="K134" s="75">
        <f>SUMIFS('caseload data'!M:M,'caseload data'!$D:$D,"SPO",'caseload data'!$C:$C,'cluster overview'!$B$115)</f>
        <v>0</v>
      </c>
      <c r="L134" s="75">
        <f>SUMIFS('caseload data'!N:N,'caseload data'!$D:$D,"SPO",'caseload data'!$C:$C,'cluster overview'!$B$115)</f>
        <v>0</v>
      </c>
      <c r="M134" s="75">
        <f>SUMIFS('caseload data'!O:O,'caseload data'!$D:$D,"SPO",'caseload data'!$C:$C,'cluster overview'!$B$115)</f>
        <v>0</v>
      </c>
      <c r="N134" s="75">
        <f>SUMIFS('caseload data'!P:P,'caseload data'!$D:$D,"SPO",'caseload data'!$C:$C,'cluster overview'!$B$115)</f>
        <v>0</v>
      </c>
      <c r="O134" s="75">
        <f>SUMIFS('caseload data'!Q:Q,'caseload data'!$D:$D,"SPO",'caseload data'!$C:$C,'cluster overview'!$B$115)</f>
        <v>0</v>
      </c>
      <c r="P134" s="75">
        <f>SUMIFS('caseload data'!R:R,'caseload data'!$D:$D,"SPO",'caseload data'!$C:$C,'cluster overview'!$B$115)</f>
        <v>0</v>
      </c>
      <c r="Q134" s="75">
        <f>SUMIFS('caseload data'!S:S,'caseload data'!$D:$D,"SPO",'caseload data'!$C:$C,'cluster overview'!$B$115)</f>
        <v>0</v>
      </c>
      <c r="R134" s="75">
        <f>SUMIFS('caseload data'!T:T,'caseload data'!$D:$D,"SPO",'caseload data'!$C:$C,'cluster overview'!$B$115)</f>
        <v>0</v>
      </c>
      <c r="U134" s="75" t="s">
        <v>1026</v>
      </c>
      <c r="V134" s="67" t="str">
        <f>IFERROR(C$134/SUM(C$131:C$134),"")</f>
        <v/>
      </c>
      <c r="W134" s="67" t="str">
        <f>IFERROR(D$134/SUM(D$131:D$134),"")</f>
        <v/>
      </c>
      <c r="X134" s="67" t="str">
        <f t="shared" ref="X134:AK134" si="23">IFERROR(E$134/SUM(E$131:E$134),"")</f>
        <v/>
      </c>
      <c r="Y134" s="67" t="str">
        <f t="shared" si="23"/>
        <v/>
      </c>
      <c r="Z134" s="67" t="str">
        <f t="shared" si="23"/>
        <v/>
      </c>
      <c r="AA134" s="67" t="str">
        <f t="shared" si="23"/>
        <v/>
      </c>
      <c r="AB134" s="67" t="str">
        <f t="shared" si="23"/>
        <v/>
      </c>
      <c r="AC134" s="67" t="str">
        <f t="shared" si="23"/>
        <v/>
      </c>
      <c r="AD134" s="67" t="str">
        <f t="shared" si="23"/>
        <v/>
      </c>
      <c r="AE134" s="67" t="str">
        <f t="shared" si="23"/>
        <v/>
      </c>
      <c r="AF134" s="67" t="str">
        <f t="shared" si="23"/>
        <v/>
      </c>
      <c r="AG134" s="67" t="str">
        <f t="shared" si="23"/>
        <v/>
      </c>
      <c r="AH134" s="67" t="str">
        <f t="shared" si="23"/>
        <v/>
      </c>
      <c r="AI134" s="67" t="str">
        <f t="shared" si="23"/>
        <v/>
      </c>
      <c r="AJ134" s="67" t="str">
        <f t="shared" si="23"/>
        <v/>
      </c>
      <c r="AK134" s="67" t="str">
        <f t="shared" si="23"/>
        <v/>
      </c>
    </row>
  </sheetData>
  <sortState xmlns:xlrd2="http://schemas.microsoft.com/office/spreadsheetml/2017/richdata2" ref="B34:D85">
    <sortCondition ref="B34:B85"/>
  </sortState>
  <mergeCells count="28">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C129:R129"/>
    <mergeCell ref="V108:AK108"/>
    <mergeCell ref="V115:AK115"/>
    <mergeCell ref="V122:AK122"/>
    <mergeCell ref="V129:AK129"/>
    <mergeCell ref="C99:R99"/>
    <mergeCell ref="C108:R108"/>
    <mergeCell ref="C115:R115"/>
    <mergeCell ref="C122:R122"/>
    <mergeCell ref="C92:R92"/>
  </mergeCells>
  <phoneticPr fontId="75" type="noConversion"/>
  <conditionalFormatting sqref="C11:E11 C10:F10">
    <cfRule type="cellIs" dxfId="6099" priority="201" operator="lessThan">
      <formula>0.9</formula>
    </cfRule>
    <cfRule type="cellIs" dxfId="6098" priority="202" operator="greaterThanOrEqual">
      <formula>1.1</formula>
    </cfRule>
  </conditionalFormatting>
  <conditionalFormatting sqref="F11">
    <cfRule type="cellIs" dxfId="6097" priority="197" operator="lessThan">
      <formula>0.9</formula>
    </cfRule>
    <cfRule type="cellIs" dxfId="6096" priority="198" operator="greaterThanOrEqual">
      <formula>1.1</formula>
    </cfRule>
  </conditionalFormatting>
  <conditionalFormatting sqref="C111:C112">
    <cfRule type="cellIs" dxfId="6095" priority="191" operator="equal">
      <formula>0</formula>
    </cfRule>
    <cfRule type="cellIs" dxfId="6094" priority="192" operator="greaterThan">
      <formula>0</formula>
    </cfRule>
  </conditionalFormatting>
  <conditionalFormatting sqref="D111:D112">
    <cfRule type="cellIs" dxfId="6093" priority="189" operator="equal">
      <formula>0</formula>
    </cfRule>
    <cfRule type="cellIs" dxfId="6092" priority="190" operator="greaterThan">
      <formula>0</formula>
    </cfRule>
  </conditionalFormatting>
  <conditionalFormatting sqref="E111:E112">
    <cfRule type="cellIs" dxfId="6091" priority="187" operator="equal">
      <formula>0</formula>
    </cfRule>
    <cfRule type="cellIs" dxfId="6090" priority="188" operator="greaterThan">
      <formula>0</formula>
    </cfRule>
  </conditionalFormatting>
  <conditionalFormatting sqref="F111:F112">
    <cfRule type="cellIs" dxfId="6089" priority="185" operator="equal">
      <formula>0</formula>
    </cfRule>
    <cfRule type="cellIs" dxfId="6088" priority="186" operator="greaterThan">
      <formula>0</formula>
    </cfRule>
  </conditionalFormatting>
  <conditionalFormatting sqref="G111:G112">
    <cfRule type="cellIs" dxfId="6087" priority="183" operator="equal">
      <formula>0</formula>
    </cfRule>
    <cfRule type="cellIs" dxfId="6086" priority="184" operator="greaterThan">
      <formula>0</formula>
    </cfRule>
  </conditionalFormatting>
  <conditionalFormatting sqref="H111:H112">
    <cfRule type="cellIs" dxfId="6085" priority="181" operator="equal">
      <formula>0</formula>
    </cfRule>
    <cfRule type="cellIs" dxfId="6084" priority="182" operator="greaterThan">
      <formula>0</formula>
    </cfRule>
  </conditionalFormatting>
  <conditionalFormatting sqref="I111:I112">
    <cfRule type="cellIs" dxfId="6083" priority="179" operator="equal">
      <formula>0</formula>
    </cfRule>
    <cfRule type="cellIs" dxfId="6082" priority="180" operator="greaterThan">
      <formula>0</formula>
    </cfRule>
  </conditionalFormatting>
  <conditionalFormatting sqref="J111:J112">
    <cfRule type="cellIs" dxfId="6081" priority="177" operator="equal">
      <formula>0</formula>
    </cfRule>
    <cfRule type="cellIs" dxfId="6080" priority="178" operator="greaterThan">
      <formula>0</formula>
    </cfRule>
  </conditionalFormatting>
  <conditionalFormatting sqref="O110">
    <cfRule type="cellIs" dxfId="6079" priority="175" operator="equal">
      <formula>0</formula>
    </cfRule>
    <cfRule type="cellIs" dxfId="6078" priority="176" operator="greaterThan">
      <formula>0</formula>
    </cfRule>
  </conditionalFormatting>
  <conditionalFormatting sqref="P110">
    <cfRule type="cellIs" dxfId="6077" priority="173" operator="equal">
      <formula>0</formula>
    </cfRule>
    <cfRule type="cellIs" dxfId="6076" priority="174" operator="greaterThan">
      <formula>0</formula>
    </cfRule>
  </conditionalFormatting>
  <conditionalFormatting sqref="Q110">
    <cfRule type="cellIs" dxfId="6075" priority="171" operator="equal">
      <formula>0</formula>
    </cfRule>
    <cfRule type="cellIs" dxfId="6074" priority="172" operator="greaterThan">
      <formula>0</formula>
    </cfRule>
  </conditionalFormatting>
  <conditionalFormatting sqref="R110">
    <cfRule type="cellIs" dxfId="6073" priority="169" operator="equal">
      <formula>0</formula>
    </cfRule>
    <cfRule type="cellIs" dxfId="6072" priority="170" operator="greaterThan">
      <formula>0</formula>
    </cfRule>
  </conditionalFormatting>
  <conditionalFormatting sqref="C118:C119">
    <cfRule type="cellIs" dxfId="6071" priority="167" operator="equal">
      <formula>0</formula>
    </cfRule>
    <cfRule type="cellIs" dxfId="6070" priority="168" operator="greaterThan">
      <formula>0</formula>
    </cfRule>
  </conditionalFormatting>
  <conditionalFormatting sqref="D118:D119">
    <cfRule type="cellIs" dxfId="6069" priority="165" operator="equal">
      <formula>0</formula>
    </cfRule>
    <cfRule type="cellIs" dxfId="6068" priority="166" operator="greaterThan">
      <formula>0</formula>
    </cfRule>
  </conditionalFormatting>
  <conditionalFormatting sqref="E118:E119">
    <cfRule type="cellIs" dxfId="6067" priority="163" operator="equal">
      <formula>0</formula>
    </cfRule>
    <cfRule type="cellIs" dxfId="6066" priority="164" operator="greaterThan">
      <formula>0</formula>
    </cfRule>
  </conditionalFormatting>
  <conditionalFormatting sqref="F118:F119">
    <cfRule type="cellIs" dxfId="6065" priority="161" operator="equal">
      <formula>0</formula>
    </cfRule>
    <cfRule type="cellIs" dxfId="6064" priority="162" operator="greaterThan">
      <formula>0</formula>
    </cfRule>
  </conditionalFormatting>
  <conditionalFormatting sqref="G118:G119">
    <cfRule type="cellIs" dxfId="6063" priority="159" operator="equal">
      <formula>0</formula>
    </cfRule>
    <cfRule type="cellIs" dxfId="6062" priority="160" operator="greaterThan">
      <formula>0</formula>
    </cfRule>
  </conditionalFormatting>
  <conditionalFormatting sqref="H118:H119">
    <cfRule type="cellIs" dxfId="6061" priority="157" operator="equal">
      <formula>0</formula>
    </cfRule>
    <cfRule type="cellIs" dxfId="6060" priority="158" operator="greaterThan">
      <formula>0</formula>
    </cfRule>
  </conditionalFormatting>
  <conditionalFormatting sqref="I118:I119">
    <cfRule type="cellIs" dxfId="6059" priority="155" operator="equal">
      <formula>0</formula>
    </cfRule>
    <cfRule type="cellIs" dxfId="6058" priority="156" operator="greaterThan">
      <formula>0</formula>
    </cfRule>
  </conditionalFormatting>
  <conditionalFormatting sqref="J118:J119">
    <cfRule type="cellIs" dxfId="6057" priority="153" operator="equal">
      <formula>0</formula>
    </cfRule>
    <cfRule type="cellIs" dxfId="6056" priority="154" operator="greaterThan">
      <formula>0</formula>
    </cfRule>
  </conditionalFormatting>
  <conditionalFormatting sqref="O117">
    <cfRule type="cellIs" dxfId="6055" priority="151" operator="equal">
      <formula>0</formula>
    </cfRule>
    <cfRule type="cellIs" dxfId="6054" priority="152" operator="greaterThan">
      <formula>0</formula>
    </cfRule>
  </conditionalFormatting>
  <conditionalFormatting sqref="P117">
    <cfRule type="cellIs" dxfId="6053" priority="149" operator="equal">
      <formula>0</formula>
    </cfRule>
    <cfRule type="cellIs" dxfId="6052" priority="150" operator="greaterThan">
      <formula>0</formula>
    </cfRule>
  </conditionalFormatting>
  <conditionalFormatting sqref="Q117">
    <cfRule type="cellIs" dxfId="6051" priority="147" operator="equal">
      <formula>0</formula>
    </cfRule>
    <cfRule type="cellIs" dxfId="6050" priority="148" operator="greaterThan">
      <formula>0</formula>
    </cfRule>
  </conditionalFormatting>
  <conditionalFormatting sqref="R117">
    <cfRule type="cellIs" dxfId="6049" priority="145" operator="equal">
      <formula>0</formula>
    </cfRule>
    <cfRule type="cellIs" dxfId="6048" priority="146" operator="greaterThan">
      <formula>0</formula>
    </cfRule>
  </conditionalFormatting>
  <conditionalFormatting sqref="C125:C126">
    <cfRule type="cellIs" dxfId="6047" priority="143" operator="equal">
      <formula>0</formula>
    </cfRule>
    <cfRule type="cellIs" dxfId="6046" priority="144" operator="greaterThan">
      <formula>0</formula>
    </cfRule>
  </conditionalFormatting>
  <conditionalFormatting sqref="D125:D126">
    <cfRule type="cellIs" dxfId="6045" priority="141" operator="equal">
      <formula>0</formula>
    </cfRule>
    <cfRule type="cellIs" dxfId="6044" priority="142" operator="greaterThan">
      <formula>0</formula>
    </cfRule>
  </conditionalFormatting>
  <conditionalFormatting sqref="E125:E126">
    <cfRule type="cellIs" dxfId="6043" priority="139" operator="equal">
      <formula>0</formula>
    </cfRule>
    <cfRule type="cellIs" dxfId="6042" priority="140" operator="greaterThan">
      <formula>0</formula>
    </cfRule>
  </conditionalFormatting>
  <conditionalFormatting sqref="F125:F126">
    <cfRule type="cellIs" dxfId="6041" priority="137" operator="equal">
      <formula>0</formula>
    </cfRule>
    <cfRule type="cellIs" dxfId="6040" priority="138" operator="greaterThan">
      <formula>0</formula>
    </cfRule>
  </conditionalFormatting>
  <conditionalFormatting sqref="G125:G126">
    <cfRule type="cellIs" dxfId="6039" priority="135" operator="equal">
      <formula>0</formula>
    </cfRule>
    <cfRule type="cellIs" dxfId="6038" priority="136" operator="greaterThan">
      <formula>0</formula>
    </cfRule>
  </conditionalFormatting>
  <conditionalFormatting sqref="H125:H126">
    <cfRule type="cellIs" dxfId="6037" priority="133" operator="equal">
      <formula>0</formula>
    </cfRule>
    <cfRule type="cellIs" dxfId="6036" priority="134" operator="greaterThan">
      <formula>0</formula>
    </cfRule>
  </conditionalFormatting>
  <conditionalFormatting sqref="I125:I126">
    <cfRule type="cellIs" dxfId="6035" priority="131" operator="equal">
      <formula>0</formula>
    </cfRule>
    <cfRule type="cellIs" dxfId="6034" priority="132" operator="greaterThan">
      <formula>0</formula>
    </cfRule>
  </conditionalFormatting>
  <conditionalFormatting sqref="J125:J126">
    <cfRule type="cellIs" dxfId="6033" priority="129" operator="equal">
      <formula>0</formula>
    </cfRule>
    <cfRule type="cellIs" dxfId="6032" priority="130" operator="greaterThan">
      <formula>0</formula>
    </cfRule>
  </conditionalFormatting>
  <conditionalFormatting sqref="O124">
    <cfRule type="cellIs" dxfId="6031" priority="127" operator="equal">
      <formula>0</formula>
    </cfRule>
    <cfRule type="cellIs" dxfId="6030" priority="128" operator="greaterThan">
      <formula>0</formula>
    </cfRule>
  </conditionalFormatting>
  <conditionalFormatting sqref="P124">
    <cfRule type="cellIs" dxfId="6029" priority="125" operator="equal">
      <formula>0</formula>
    </cfRule>
    <cfRule type="cellIs" dxfId="6028" priority="126" operator="greaterThan">
      <formula>0</formula>
    </cfRule>
  </conditionalFormatting>
  <conditionalFormatting sqref="Q124">
    <cfRule type="cellIs" dxfId="6027" priority="123" operator="equal">
      <formula>0</formula>
    </cfRule>
    <cfRule type="cellIs" dxfId="6026" priority="124" operator="greaterThan">
      <formula>0</formula>
    </cfRule>
  </conditionalFormatting>
  <conditionalFormatting sqref="R124">
    <cfRule type="cellIs" dxfId="6025" priority="121" operator="equal">
      <formula>0</formula>
    </cfRule>
    <cfRule type="cellIs" dxfId="6024" priority="122" operator="greaterThan">
      <formula>0</formula>
    </cfRule>
  </conditionalFormatting>
  <conditionalFormatting sqref="C132:C133">
    <cfRule type="cellIs" dxfId="6023" priority="119" operator="equal">
      <formula>0</formula>
    </cfRule>
    <cfRule type="cellIs" dxfId="6022" priority="120" operator="greaterThan">
      <formula>0</formula>
    </cfRule>
  </conditionalFormatting>
  <conditionalFormatting sqref="D132:D133">
    <cfRule type="cellIs" dxfId="6021" priority="117" operator="equal">
      <formula>0</formula>
    </cfRule>
    <cfRule type="cellIs" dxfId="6020" priority="118" operator="greaterThan">
      <formula>0</formula>
    </cfRule>
  </conditionalFormatting>
  <conditionalFormatting sqref="E132:E133">
    <cfRule type="cellIs" dxfId="6019" priority="115" operator="equal">
      <formula>0</formula>
    </cfRule>
    <cfRule type="cellIs" dxfId="6018" priority="116" operator="greaterThan">
      <formula>0</formula>
    </cfRule>
  </conditionalFormatting>
  <conditionalFormatting sqref="F132:F133">
    <cfRule type="cellIs" dxfId="6017" priority="113" operator="equal">
      <formula>0</formula>
    </cfRule>
    <cfRule type="cellIs" dxfId="6016" priority="114" operator="greaterThan">
      <formula>0</formula>
    </cfRule>
  </conditionalFormatting>
  <conditionalFormatting sqref="G132:G133">
    <cfRule type="cellIs" dxfId="6015" priority="111" operator="equal">
      <formula>0</formula>
    </cfRule>
    <cfRule type="cellIs" dxfId="6014" priority="112" operator="greaterThan">
      <formula>0</formula>
    </cfRule>
  </conditionalFormatting>
  <conditionalFormatting sqref="H132:H133">
    <cfRule type="cellIs" dxfId="6013" priority="109" operator="equal">
      <formula>0</formula>
    </cfRule>
    <cfRule type="cellIs" dxfId="6012" priority="110" operator="greaterThan">
      <formula>0</formula>
    </cfRule>
  </conditionalFormatting>
  <conditionalFormatting sqref="I132:I133">
    <cfRule type="cellIs" dxfId="6011" priority="107" operator="equal">
      <formula>0</formula>
    </cfRule>
    <cfRule type="cellIs" dxfId="6010" priority="108" operator="greaterThan">
      <formula>0</formula>
    </cfRule>
  </conditionalFormatting>
  <conditionalFormatting sqref="J132:J133">
    <cfRule type="cellIs" dxfId="6009" priority="105" operator="equal">
      <formula>0</formula>
    </cfRule>
    <cfRule type="cellIs" dxfId="6008" priority="106" operator="greaterThan">
      <formula>0</formula>
    </cfRule>
  </conditionalFormatting>
  <conditionalFormatting sqref="O131">
    <cfRule type="cellIs" dxfId="6007" priority="103" operator="equal">
      <formula>0</formula>
    </cfRule>
    <cfRule type="cellIs" dxfId="6006" priority="104" operator="greaterThan">
      <formula>0</formula>
    </cfRule>
  </conditionalFormatting>
  <conditionalFormatting sqref="P131">
    <cfRule type="cellIs" dxfId="6005" priority="101" operator="equal">
      <formula>0</formula>
    </cfRule>
    <cfRule type="cellIs" dxfId="6004" priority="102" operator="greaterThan">
      <formula>0</formula>
    </cfRule>
  </conditionalFormatting>
  <conditionalFormatting sqref="Q131">
    <cfRule type="cellIs" dxfId="6003" priority="99" operator="equal">
      <formula>0</formula>
    </cfRule>
    <cfRule type="cellIs" dxfId="6002" priority="100" operator="greaterThan">
      <formula>0</formula>
    </cfRule>
  </conditionalFormatting>
  <conditionalFormatting sqref="R131">
    <cfRule type="cellIs" dxfId="6001" priority="97" operator="equal">
      <formula>0</formula>
    </cfRule>
    <cfRule type="cellIs" dxfId="6000" priority="98" operator="greaterThan">
      <formula>0</formula>
    </cfRule>
  </conditionalFormatting>
  <conditionalFormatting sqref="V111:V112">
    <cfRule type="cellIs" dxfId="5999" priority="95" operator="equal">
      <formula>0</formula>
    </cfRule>
    <cfRule type="cellIs" dxfId="5998" priority="96" operator="greaterThan">
      <formula>0</formula>
    </cfRule>
  </conditionalFormatting>
  <conditionalFormatting sqref="W111:W112">
    <cfRule type="cellIs" dxfId="5997" priority="93" operator="equal">
      <formula>0</formula>
    </cfRule>
    <cfRule type="cellIs" dxfId="5996" priority="94" operator="greaterThan">
      <formula>0</formula>
    </cfRule>
  </conditionalFormatting>
  <conditionalFormatting sqref="X111:X112">
    <cfRule type="cellIs" dxfId="5995" priority="91" operator="equal">
      <formula>0</formula>
    </cfRule>
    <cfRule type="cellIs" dxfId="5994" priority="92" operator="greaterThan">
      <formula>0</formula>
    </cfRule>
  </conditionalFormatting>
  <conditionalFormatting sqref="Y111:Y112">
    <cfRule type="cellIs" dxfId="5993" priority="89" operator="equal">
      <formula>0</formula>
    </cfRule>
    <cfRule type="cellIs" dxfId="5992" priority="90" operator="greaterThan">
      <formula>0</formula>
    </cfRule>
  </conditionalFormatting>
  <conditionalFormatting sqref="Z111:Z112">
    <cfRule type="cellIs" dxfId="5991" priority="87" operator="equal">
      <formula>0</formula>
    </cfRule>
    <cfRule type="cellIs" dxfId="5990" priority="88" operator="greaterThan">
      <formula>0</formula>
    </cfRule>
  </conditionalFormatting>
  <conditionalFormatting sqref="AA111:AA112">
    <cfRule type="cellIs" dxfId="5989" priority="85" operator="equal">
      <formula>0</formula>
    </cfRule>
    <cfRule type="cellIs" dxfId="5988" priority="86" operator="greaterThan">
      <formula>0</formula>
    </cfRule>
  </conditionalFormatting>
  <conditionalFormatting sqref="AB111:AB112">
    <cfRule type="cellIs" dxfId="5987" priority="83" operator="equal">
      <formula>0</formula>
    </cfRule>
    <cfRule type="cellIs" dxfId="5986" priority="84" operator="greaterThan">
      <formula>0</formula>
    </cfRule>
  </conditionalFormatting>
  <conditionalFormatting sqref="AC111:AC112">
    <cfRule type="cellIs" dxfId="5985" priority="81" operator="equal">
      <formula>0</formula>
    </cfRule>
    <cfRule type="cellIs" dxfId="5984" priority="82" operator="greaterThan">
      <formula>0</formula>
    </cfRule>
  </conditionalFormatting>
  <conditionalFormatting sqref="AH110">
    <cfRule type="cellIs" dxfId="5983" priority="79" operator="equal">
      <formula>0</formula>
    </cfRule>
    <cfRule type="cellIs" dxfId="5982" priority="80" operator="greaterThan">
      <formula>0</formula>
    </cfRule>
  </conditionalFormatting>
  <conditionalFormatting sqref="AI110">
    <cfRule type="cellIs" dxfId="5981" priority="77" operator="equal">
      <formula>0</formula>
    </cfRule>
    <cfRule type="cellIs" dxfId="5980" priority="78" operator="greaterThan">
      <formula>0</formula>
    </cfRule>
  </conditionalFormatting>
  <conditionalFormatting sqref="AJ110">
    <cfRule type="cellIs" dxfId="5979" priority="75" operator="equal">
      <formula>0</formula>
    </cfRule>
    <cfRule type="cellIs" dxfId="5978" priority="76" operator="greaterThan">
      <formula>0</formula>
    </cfRule>
  </conditionalFormatting>
  <conditionalFormatting sqref="AK110">
    <cfRule type="cellIs" dxfId="5977" priority="73" operator="equal">
      <formula>0</formula>
    </cfRule>
    <cfRule type="cellIs" dxfId="5976" priority="74" operator="greaterThan">
      <formula>0</formula>
    </cfRule>
  </conditionalFormatting>
  <conditionalFormatting sqref="V118:V119">
    <cfRule type="cellIs" dxfId="5975" priority="71" operator="equal">
      <formula>0</formula>
    </cfRule>
    <cfRule type="cellIs" dxfId="5974" priority="72" operator="greaterThan">
      <formula>0</formula>
    </cfRule>
  </conditionalFormatting>
  <conditionalFormatting sqref="W118:W119">
    <cfRule type="cellIs" dxfId="5973" priority="69" operator="equal">
      <formula>0</formula>
    </cfRule>
    <cfRule type="cellIs" dxfId="5972" priority="70" operator="greaterThan">
      <formula>0</formula>
    </cfRule>
  </conditionalFormatting>
  <conditionalFormatting sqref="X118:X119">
    <cfRule type="cellIs" dxfId="5971" priority="67" operator="equal">
      <formula>0</formula>
    </cfRule>
    <cfRule type="cellIs" dxfId="5970" priority="68" operator="greaterThan">
      <formula>0</formula>
    </cfRule>
  </conditionalFormatting>
  <conditionalFormatting sqref="Y118:Y119">
    <cfRule type="cellIs" dxfId="5969" priority="65" operator="equal">
      <formula>0</formula>
    </cfRule>
    <cfRule type="cellIs" dxfId="5968" priority="66" operator="greaterThan">
      <formula>0</formula>
    </cfRule>
  </conditionalFormatting>
  <conditionalFormatting sqref="Z118:Z119">
    <cfRule type="cellIs" dxfId="5967" priority="63" operator="equal">
      <formula>0</formula>
    </cfRule>
    <cfRule type="cellIs" dxfId="5966" priority="64" operator="greaterThan">
      <formula>0</formula>
    </cfRule>
  </conditionalFormatting>
  <conditionalFormatting sqref="AA118:AA119">
    <cfRule type="cellIs" dxfId="5965" priority="61" operator="equal">
      <formula>0</formula>
    </cfRule>
    <cfRule type="cellIs" dxfId="5964" priority="62" operator="greaterThan">
      <formula>0</formula>
    </cfRule>
  </conditionalFormatting>
  <conditionalFormatting sqref="AB118:AB119">
    <cfRule type="cellIs" dxfId="5963" priority="59" operator="equal">
      <formula>0</formula>
    </cfRule>
    <cfRule type="cellIs" dxfId="5962" priority="60" operator="greaterThan">
      <formula>0</formula>
    </cfRule>
  </conditionalFormatting>
  <conditionalFormatting sqref="AC118:AC119">
    <cfRule type="cellIs" dxfId="5961" priority="57" operator="equal">
      <formula>0</formula>
    </cfRule>
    <cfRule type="cellIs" dxfId="5960" priority="58" operator="greaterThan">
      <formula>0</formula>
    </cfRule>
  </conditionalFormatting>
  <conditionalFormatting sqref="AH117">
    <cfRule type="cellIs" dxfId="5959" priority="55" operator="equal">
      <formula>0</formula>
    </cfRule>
    <cfRule type="cellIs" dxfId="5958" priority="56" operator="greaterThan">
      <formula>0</formula>
    </cfRule>
  </conditionalFormatting>
  <conditionalFormatting sqref="AI117">
    <cfRule type="cellIs" dxfId="5957" priority="53" operator="equal">
      <formula>0</formula>
    </cfRule>
    <cfRule type="cellIs" dxfId="5956" priority="54" operator="greaterThan">
      <formula>0</formula>
    </cfRule>
  </conditionalFormatting>
  <conditionalFormatting sqref="AJ117">
    <cfRule type="cellIs" dxfId="5955" priority="51" operator="equal">
      <formula>0</formula>
    </cfRule>
    <cfRule type="cellIs" dxfId="5954" priority="52" operator="greaterThan">
      <formula>0</formula>
    </cfRule>
  </conditionalFormatting>
  <conditionalFormatting sqref="AK117">
    <cfRule type="cellIs" dxfId="5953" priority="49" operator="equal">
      <formula>0</formula>
    </cfRule>
    <cfRule type="cellIs" dxfId="5952" priority="50" operator="greaterThan">
      <formula>0</formula>
    </cfRule>
  </conditionalFormatting>
  <conditionalFormatting sqref="V125:V126">
    <cfRule type="cellIs" dxfId="5951" priority="47" operator="equal">
      <formula>0</formula>
    </cfRule>
    <cfRule type="cellIs" dxfId="5950" priority="48" operator="greaterThan">
      <formula>0</formula>
    </cfRule>
  </conditionalFormatting>
  <conditionalFormatting sqref="W125:W126">
    <cfRule type="cellIs" dxfId="5949" priority="45" operator="equal">
      <formula>0</formula>
    </cfRule>
    <cfRule type="cellIs" dxfId="5948" priority="46" operator="greaterThan">
      <formula>0</formula>
    </cfRule>
  </conditionalFormatting>
  <conditionalFormatting sqref="X125:X126">
    <cfRule type="cellIs" dxfId="5947" priority="43" operator="equal">
      <formula>0</formula>
    </cfRule>
    <cfRule type="cellIs" dxfId="5946" priority="44" operator="greaterThan">
      <formula>0</formula>
    </cfRule>
  </conditionalFormatting>
  <conditionalFormatting sqref="Y125:Y126">
    <cfRule type="cellIs" dxfId="5945" priority="41" operator="equal">
      <formula>0</formula>
    </cfRule>
    <cfRule type="cellIs" dxfId="5944" priority="42" operator="greaterThan">
      <formula>0</formula>
    </cfRule>
  </conditionalFormatting>
  <conditionalFormatting sqref="Z125:Z126">
    <cfRule type="cellIs" dxfId="5943" priority="39" operator="equal">
      <formula>0</formula>
    </cfRule>
    <cfRule type="cellIs" dxfId="5942" priority="40" operator="greaterThan">
      <formula>0</formula>
    </cfRule>
  </conditionalFormatting>
  <conditionalFormatting sqref="AA125:AA126">
    <cfRule type="cellIs" dxfId="5941" priority="37" operator="equal">
      <formula>0</formula>
    </cfRule>
    <cfRule type="cellIs" dxfId="5940" priority="38" operator="greaterThan">
      <formula>0</formula>
    </cfRule>
  </conditionalFormatting>
  <conditionalFormatting sqref="AB125:AB126">
    <cfRule type="cellIs" dxfId="5939" priority="35" operator="equal">
      <formula>0</formula>
    </cfRule>
    <cfRule type="cellIs" dxfId="5938" priority="36" operator="greaterThan">
      <formula>0</formula>
    </cfRule>
  </conditionalFormatting>
  <conditionalFormatting sqref="AC125:AC126">
    <cfRule type="cellIs" dxfId="5937" priority="33" operator="equal">
      <formula>0</formula>
    </cfRule>
    <cfRule type="cellIs" dxfId="5936" priority="34" operator="greaterThan">
      <formula>0</formula>
    </cfRule>
  </conditionalFormatting>
  <conditionalFormatting sqref="AH124">
    <cfRule type="cellIs" dxfId="5935" priority="31" operator="equal">
      <formula>0</formula>
    </cfRule>
    <cfRule type="cellIs" dxfId="5934" priority="32" operator="greaterThan">
      <formula>0</formula>
    </cfRule>
  </conditionalFormatting>
  <conditionalFormatting sqref="AI124">
    <cfRule type="cellIs" dxfId="5933" priority="29" operator="equal">
      <formula>0</formula>
    </cfRule>
    <cfRule type="cellIs" dxfId="5932" priority="30" operator="greaterThan">
      <formula>0</formula>
    </cfRule>
  </conditionalFormatting>
  <conditionalFormatting sqref="AJ124">
    <cfRule type="cellIs" dxfId="5931" priority="27" operator="equal">
      <formula>0</formula>
    </cfRule>
    <cfRule type="cellIs" dxfId="5930" priority="28" operator="greaterThan">
      <formula>0</formula>
    </cfRule>
  </conditionalFormatting>
  <conditionalFormatting sqref="AK124">
    <cfRule type="cellIs" dxfId="5929" priority="25" operator="equal">
      <formula>0</formula>
    </cfRule>
    <cfRule type="cellIs" dxfId="5928" priority="26" operator="greaterThan">
      <formula>0</formula>
    </cfRule>
  </conditionalFormatting>
  <conditionalFormatting sqref="V132:V133">
    <cfRule type="cellIs" dxfId="5927" priority="23" operator="equal">
      <formula>0</formula>
    </cfRule>
    <cfRule type="cellIs" dxfId="5926" priority="24" operator="greaterThan">
      <formula>0</formula>
    </cfRule>
  </conditionalFormatting>
  <conditionalFormatting sqref="W132:W133">
    <cfRule type="cellIs" dxfId="5925" priority="21" operator="equal">
      <formula>0</formula>
    </cfRule>
    <cfRule type="cellIs" dxfId="5924" priority="22" operator="greaterThan">
      <formula>0</formula>
    </cfRule>
  </conditionalFormatting>
  <conditionalFormatting sqref="X132:X133">
    <cfRule type="cellIs" dxfId="5923" priority="19" operator="equal">
      <formula>0</formula>
    </cfRule>
    <cfRule type="cellIs" dxfId="5922" priority="20" operator="greaterThan">
      <formula>0</formula>
    </cfRule>
  </conditionalFormatting>
  <conditionalFormatting sqref="Y132:Y133">
    <cfRule type="cellIs" dxfId="5921" priority="17" operator="equal">
      <formula>0</formula>
    </cfRule>
    <cfRule type="cellIs" dxfId="5920" priority="18" operator="greaterThan">
      <formula>0</formula>
    </cfRule>
  </conditionalFormatting>
  <conditionalFormatting sqref="Z132:Z133">
    <cfRule type="cellIs" dxfId="5919" priority="15" operator="equal">
      <formula>0</formula>
    </cfRule>
    <cfRule type="cellIs" dxfId="5918" priority="16" operator="greaterThan">
      <formula>0</formula>
    </cfRule>
  </conditionalFormatting>
  <conditionalFormatting sqref="AA132:AA133">
    <cfRule type="cellIs" dxfId="5917" priority="13" operator="equal">
      <formula>0</formula>
    </cfRule>
    <cfRule type="cellIs" dxfId="5916" priority="14" operator="greaterThan">
      <formula>0</formula>
    </cfRule>
  </conditionalFormatting>
  <conditionalFormatting sqref="AB132:AB133">
    <cfRule type="cellIs" dxfId="5915" priority="11" operator="equal">
      <formula>0</formula>
    </cfRule>
    <cfRule type="cellIs" dxfId="5914" priority="12" operator="greaterThan">
      <formula>0</formula>
    </cfRule>
  </conditionalFormatting>
  <conditionalFormatting sqref="AC132:AC133">
    <cfRule type="cellIs" dxfId="5913" priority="9" operator="equal">
      <formula>0</formula>
    </cfRule>
    <cfRule type="cellIs" dxfId="5912" priority="10" operator="greaterThan">
      <formula>0</formula>
    </cfRule>
  </conditionalFormatting>
  <conditionalFormatting sqref="AH131">
    <cfRule type="cellIs" dxfId="5911" priority="7" operator="equal">
      <formula>0</formula>
    </cfRule>
    <cfRule type="cellIs" dxfId="5910" priority="8" operator="greaterThan">
      <formula>0</formula>
    </cfRule>
  </conditionalFormatting>
  <conditionalFormatting sqref="AI131">
    <cfRule type="cellIs" dxfId="5909" priority="5" operator="equal">
      <formula>0</formula>
    </cfRule>
    <cfRule type="cellIs" dxfId="5908" priority="6" operator="greaterThan">
      <formula>0</formula>
    </cfRule>
  </conditionalFormatting>
  <conditionalFormatting sqref="AJ131">
    <cfRule type="cellIs" dxfId="5907" priority="3" operator="equal">
      <formula>0</formula>
    </cfRule>
    <cfRule type="cellIs" dxfId="5906" priority="4" operator="greaterThan">
      <formula>0</formula>
    </cfRule>
  </conditionalFormatting>
  <conditionalFormatting sqref="AK131">
    <cfRule type="cellIs" dxfId="5905" priority="1" operator="equal">
      <formula>0</formula>
    </cfRule>
    <cfRule type="cellIs" dxfId="5904"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8"/>
  <sheetViews>
    <sheetView showGridLines="0" topLeftCell="A2" zoomScale="85" zoomScaleNormal="85" workbookViewId="0">
      <selection activeCell="C10" sqref="C10"/>
    </sheetView>
  </sheetViews>
  <sheetFormatPr defaultColWidth="9.140625" defaultRowHeight="15" x14ac:dyDescent="0.25"/>
  <cols>
    <col min="2" max="2" width="42.5703125" customWidth="1"/>
    <col min="3" max="3" width="19.140625" customWidth="1"/>
    <col min="4" max="4" width="20.42578125" bestFit="1" customWidth="1"/>
    <col min="5" max="5" width="16.28515625" customWidth="1"/>
    <col min="6" max="6" width="17.140625" customWidth="1"/>
    <col min="7" max="7" width="18.42578125" customWidth="1"/>
    <col min="8" max="8" width="19.140625" customWidth="1"/>
    <col min="9" max="9" width="17.42578125" customWidth="1"/>
    <col min="10" max="10" width="20.42578125" customWidth="1"/>
    <col min="11" max="11" width="23.7109375" customWidth="1"/>
    <col min="12" max="12" width="19.85546875" customWidth="1"/>
    <col min="13" max="13" width="17.85546875" bestFit="1" customWidth="1"/>
    <col min="14" max="14" width="8.42578125" bestFit="1" customWidth="1"/>
    <col min="17" max="17" width="10" bestFit="1" customWidth="1"/>
  </cols>
  <sheetData>
    <row r="1" spans="1:19" ht="43.5" customHeight="1" x14ac:dyDescent="0.25">
      <c r="A1" s="474" t="s">
        <v>1092</v>
      </c>
      <c r="B1" s="474"/>
      <c r="C1" s="474"/>
      <c r="D1" s="474"/>
      <c r="E1" s="474"/>
      <c r="F1" s="474"/>
      <c r="G1" s="474"/>
      <c r="H1" s="474"/>
      <c r="I1" s="474"/>
      <c r="J1" s="474"/>
      <c r="K1" s="474"/>
      <c r="L1" s="474"/>
      <c r="M1" s="474"/>
      <c r="N1" s="475"/>
      <c r="O1" s="475"/>
      <c r="P1" s="475"/>
      <c r="Q1" s="475"/>
      <c r="R1" s="475"/>
      <c r="S1" s="475"/>
    </row>
    <row r="2" spans="1:19" ht="37.5" customHeight="1" x14ac:dyDescent="0.25">
      <c r="A2" s="430"/>
      <c r="B2" s="430"/>
      <c r="C2" s="430"/>
      <c r="D2" s="430"/>
      <c r="E2" s="430"/>
      <c r="F2" s="430"/>
      <c r="G2" s="430"/>
      <c r="H2" s="430"/>
      <c r="I2" s="430"/>
      <c r="J2" s="430"/>
      <c r="K2" s="430"/>
      <c r="L2" s="430"/>
      <c r="M2" s="430"/>
      <c r="N2" s="241"/>
      <c r="O2" s="241"/>
      <c r="P2" s="241"/>
      <c r="Q2" s="241"/>
      <c r="R2" s="241"/>
      <c r="S2" s="241"/>
    </row>
    <row r="3" spans="1:19" ht="16.5" customHeight="1" x14ac:dyDescent="0.25"/>
    <row r="4" spans="1:19" ht="33.75" customHeight="1" x14ac:dyDescent="0.25">
      <c r="B4" s="341" t="s">
        <v>1093</v>
      </c>
    </row>
    <row r="5" spans="1:19" ht="24" customHeight="1" x14ac:dyDescent="0.25">
      <c r="B5" s="242" t="s">
        <v>17</v>
      </c>
      <c r="D5" t="s">
        <v>1094</v>
      </c>
      <c r="F5" s="40"/>
    </row>
    <row r="6" spans="1:19" ht="33" customHeight="1" x14ac:dyDescent="0.25">
      <c r="B6" s="305" t="s">
        <v>41</v>
      </c>
    </row>
    <row r="8" spans="1:19" ht="23.25" x14ac:dyDescent="0.25">
      <c r="B8" s="449" t="s">
        <v>958</v>
      </c>
      <c r="C8" s="450"/>
      <c r="D8" s="450"/>
      <c r="E8" s="450"/>
      <c r="F8" s="451"/>
    </row>
    <row r="9" spans="1:19" ht="51" x14ac:dyDescent="0.25">
      <c r="B9" s="62"/>
      <c r="C9" s="219" t="s">
        <v>959</v>
      </c>
      <c r="D9" s="63" t="s">
        <v>960</v>
      </c>
      <c r="E9" s="63" t="s">
        <v>961</v>
      </c>
      <c r="F9" s="63" t="s">
        <v>962</v>
      </c>
      <c r="G9" s="64"/>
      <c r="H9" s="219" t="s">
        <v>1068</v>
      </c>
      <c r="I9" s="219" t="s">
        <v>964</v>
      </c>
      <c r="J9" s="64"/>
      <c r="K9" s="219" t="s">
        <v>965</v>
      </c>
      <c r="L9" s="219" t="s">
        <v>966</v>
      </c>
      <c r="M9" s="64"/>
    </row>
    <row r="10" spans="1:19" x14ac:dyDescent="0.25">
      <c r="B10" s="65" t="str">
        <f>B6</f>
        <v>Boston - N53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25">
      <c r="B11" s="106" t="s">
        <v>967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25">
      <c r="B12" s="119" t="s">
        <v>1058</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25">
      <c r="B13" s="64"/>
      <c r="C13" s="64"/>
      <c r="D13" s="64"/>
      <c r="E13" s="64"/>
      <c r="F13" s="64"/>
      <c r="G13" s="64"/>
      <c r="H13" s="64"/>
      <c r="I13" s="64"/>
      <c r="J13" s="64"/>
      <c r="K13" s="64"/>
      <c r="L13" s="64"/>
      <c r="M13" s="64"/>
    </row>
    <row r="14" spans="1:19" ht="50.25" customHeight="1" x14ac:dyDescent="0.25">
      <c r="B14" s="69"/>
      <c r="C14" s="70" t="s">
        <v>970</v>
      </c>
      <c r="D14" s="70" t="s">
        <v>971</v>
      </c>
      <c r="E14" s="70" t="s">
        <v>972</v>
      </c>
      <c r="F14" s="70" t="s">
        <v>973</v>
      </c>
      <c r="G14" s="70" t="s">
        <v>974</v>
      </c>
      <c r="H14" s="70" t="s">
        <v>975</v>
      </c>
      <c r="I14" s="70" t="s">
        <v>976</v>
      </c>
      <c r="J14" s="71" t="s">
        <v>977</v>
      </c>
      <c r="K14" s="70" t="s">
        <v>978</v>
      </c>
      <c r="L14" s="70" t="s">
        <v>979</v>
      </c>
      <c r="M14" s="70" t="s">
        <v>980</v>
      </c>
    </row>
    <row r="15" spans="1:19" ht="20.25" customHeight="1" x14ac:dyDescent="0.25">
      <c r="B15" s="72" t="str">
        <f>B6</f>
        <v>Boston - N53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25">
      <c r="B16" s="106" t="s">
        <v>1075</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25">
      <c r="B17" s="105" t="s">
        <v>1058</v>
      </c>
      <c r="C17" s="100" t="s">
        <v>982</v>
      </c>
      <c r="D17" s="100" t="s">
        <v>982</v>
      </c>
      <c r="E17" s="101" t="e">
        <f>+E15-E16</f>
        <v>#DIV/0!</v>
      </c>
      <c r="F17" s="100" t="s">
        <v>982</v>
      </c>
      <c r="G17" s="100" t="s">
        <v>982</v>
      </c>
      <c r="H17" s="101" t="str">
        <f>IFERROR(+H15-H16,"N/A")</f>
        <v>N/A</v>
      </c>
      <c r="I17" s="100" t="s">
        <v>982</v>
      </c>
      <c r="J17" s="101" t="str">
        <f>IFERROR(+J15-J16,"N/A")</f>
        <v>N/A</v>
      </c>
      <c r="K17" s="100" t="s">
        <v>982</v>
      </c>
      <c r="L17" s="100" t="s">
        <v>982</v>
      </c>
      <c r="M17" s="101" t="str">
        <f>IFERROR(+M15-M16,"N/A")</f>
        <v>N/A</v>
      </c>
    </row>
    <row r="19" spans="2:13" ht="23.25" x14ac:dyDescent="0.25">
      <c r="B19" s="449" t="s">
        <v>983</v>
      </c>
      <c r="C19" s="450"/>
      <c r="D19" s="450"/>
      <c r="E19" s="450"/>
      <c r="F19" s="450"/>
      <c r="G19" s="450"/>
      <c r="H19" s="450"/>
    </row>
    <row r="20" spans="2:13" ht="49.5" customHeight="1" x14ac:dyDescent="0.25">
      <c r="B20" s="76"/>
      <c r="C20" s="63" t="s">
        <v>1070</v>
      </c>
      <c r="D20" s="63" t="s">
        <v>1071</v>
      </c>
      <c r="E20" s="63" t="s">
        <v>1072</v>
      </c>
      <c r="F20" s="63" t="s">
        <v>987</v>
      </c>
      <c r="G20" s="219" t="s">
        <v>1095</v>
      </c>
      <c r="H20" s="219" t="s">
        <v>1074</v>
      </c>
    </row>
    <row r="21" spans="2:13" x14ac:dyDescent="0.25">
      <c r="B21" s="62" t="str">
        <f>B6</f>
        <v>Boston - N53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25">
      <c r="B22" s="79" t="s">
        <v>1075</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25">
      <c r="B23" s="116" t="s">
        <v>1058</v>
      </c>
      <c r="C23" s="100" t="s">
        <v>982</v>
      </c>
      <c r="D23" s="100" t="s">
        <v>982</v>
      </c>
      <c r="E23" s="100" t="s">
        <v>982</v>
      </c>
      <c r="F23" s="104" t="s">
        <v>982</v>
      </c>
      <c r="G23" s="104" t="e">
        <f>+G21-G22</f>
        <v>#DIV/0!</v>
      </c>
      <c r="H23" s="100" t="s">
        <v>982</v>
      </c>
    </row>
    <row r="26" spans="2:13" ht="23.25" x14ac:dyDescent="0.25">
      <c r="B26" s="449" t="s">
        <v>990</v>
      </c>
      <c r="C26" s="450"/>
      <c r="D26" s="450"/>
      <c r="E26" s="450"/>
      <c r="F26" s="450"/>
      <c r="G26" s="450"/>
      <c r="H26" s="450"/>
      <c r="I26" s="450"/>
      <c r="J26" s="450"/>
      <c r="K26" s="450"/>
    </row>
    <row r="27" spans="2:13" ht="48.75" customHeight="1" x14ac:dyDescent="0.25">
      <c r="B27" s="84"/>
      <c r="C27" s="219" t="s">
        <v>991</v>
      </c>
      <c r="D27" s="219" t="s">
        <v>992</v>
      </c>
      <c r="E27" s="219" t="s">
        <v>993</v>
      </c>
      <c r="F27" s="219" t="s">
        <v>994</v>
      </c>
      <c r="G27" s="219" t="s">
        <v>995</v>
      </c>
      <c r="H27" s="219" t="s">
        <v>996</v>
      </c>
      <c r="I27" s="219" t="s">
        <v>997</v>
      </c>
      <c r="J27" s="219" t="s">
        <v>998</v>
      </c>
      <c r="K27" s="219" t="s">
        <v>999</v>
      </c>
    </row>
    <row r="28" spans="2:13" x14ac:dyDescent="0.25">
      <c r="B28" s="62" t="str">
        <f>B6</f>
        <v>Boston - N53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25">
      <c r="B29" s="106" t="s">
        <v>981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25">
      <c r="B30" s="105" t="s">
        <v>1058</v>
      </c>
      <c r="C30" s="100" t="s">
        <v>982</v>
      </c>
      <c r="D30" s="100" t="s">
        <v>982</v>
      </c>
      <c r="E30" s="99" t="e">
        <f>+E28-E29</f>
        <v>#DIV/0!</v>
      </c>
      <c r="F30" s="100" t="s">
        <v>982</v>
      </c>
      <c r="G30" s="100" t="s">
        <v>982</v>
      </c>
      <c r="H30" s="99" t="str">
        <f>IFERROR(+H28-H29,"N/A")</f>
        <v>N/A</v>
      </c>
      <c r="I30" s="100" t="s">
        <v>982</v>
      </c>
      <c r="J30" s="100" t="s">
        <v>982</v>
      </c>
      <c r="K30" s="99" t="str">
        <f>IFERROR(+K28-K29,"N/A")</f>
        <v>N/A</v>
      </c>
    </row>
    <row r="32" spans="2:13" ht="37.5" customHeight="1" x14ac:dyDescent="0.25">
      <c r="B32" s="471" t="s">
        <v>1096</v>
      </c>
      <c r="C32" s="472"/>
      <c r="D32" s="472"/>
      <c r="F32" s="473" t="s">
        <v>1097</v>
      </c>
      <c r="G32" s="473"/>
    </row>
    <row r="33" spans="1:7" ht="60.75" customHeight="1" x14ac:dyDescent="0.25">
      <c r="B33" s="76" t="s">
        <v>1003</v>
      </c>
      <c r="C33" s="219" t="s">
        <v>1079</v>
      </c>
      <c r="D33" s="219" t="s">
        <v>1005</v>
      </c>
      <c r="E33" s="64"/>
      <c r="F33" s="215" t="s">
        <v>1098</v>
      </c>
      <c r="G33" s="214">
        <f>COUNTIFS('reductions data'!C:C,'team overview'!B6,'reductions data'!K:K,"ACTIVE")</f>
        <v>0</v>
      </c>
    </row>
    <row r="34" spans="1:7" x14ac:dyDescent="0.25">
      <c r="B34" s="112" t="s">
        <v>907</v>
      </c>
      <c r="C34" s="89">
        <f>COUNTIFS('reductions data'!C:C,'team overview'!$B$6,'reductions data'!G:G,'team overview'!B34)</f>
        <v>0</v>
      </c>
      <c r="D34" s="90">
        <f>SUMIFS('reductions data'!H:H,'reductions data'!$C:$C,'team overview'!$B$6,'reductions data'!G:G,'team overview'!B34)</f>
        <v>0</v>
      </c>
      <c r="E34" s="64"/>
      <c r="F34" s="460" t="s">
        <v>1099</v>
      </c>
      <c r="G34" s="461">
        <f>SUMIF('reductions data'!C:C,'team overview'!B6,'reductions data'!H:H)</f>
        <v>0</v>
      </c>
    </row>
    <row r="35" spans="1:7" x14ac:dyDescent="0.25">
      <c r="B35" s="113" t="s">
        <v>909</v>
      </c>
      <c r="C35" s="89">
        <f>COUNTIFS('reductions data'!C:C,'team overview'!$B$6,'reductions data'!G:G,'team overview'!B35)</f>
        <v>0</v>
      </c>
      <c r="D35" s="90">
        <f>SUMIFS('reductions data'!H:H,'reductions data'!$C:$C,'team overview'!$B$6,'reductions data'!G:G,'team overview'!B35)</f>
        <v>0</v>
      </c>
      <c r="E35" s="64"/>
      <c r="F35" s="424"/>
      <c r="G35" s="424"/>
    </row>
    <row r="36" spans="1:7" x14ac:dyDescent="0.25">
      <c r="B36" s="113" t="s">
        <v>908</v>
      </c>
      <c r="C36" s="89">
        <f>COUNTIFS('reductions data'!C:C,'team overview'!$B$6,'reductions data'!G:G,'team overview'!B36)</f>
        <v>0</v>
      </c>
      <c r="D36" s="90">
        <f>SUMIFS('reductions data'!H:H,'reductions data'!$C:$C,'team overview'!$B$6,'reductions data'!G:G,'team overview'!B36)</f>
        <v>0</v>
      </c>
      <c r="E36" s="91"/>
      <c r="F36" s="424"/>
      <c r="G36" s="424"/>
    </row>
    <row r="37" spans="1:7" x14ac:dyDescent="0.25">
      <c r="B37" s="113" t="s">
        <v>910</v>
      </c>
      <c r="C37" s="89">
        <f>COUNTIFS('reductions data'!C:C,'team overview'!$B$6,'reductions data'!G:G,'team overview'!B37)</f>
        <v>0</v>
      </c>
      <c r="D37" s="90">
        <f>SUMIFS('reductions data'!H:H,'reductions data'!$C:$C,'team overview'!$B$6,'reductions data'!G:G,'team overview'!B37)</f>
        <v>0</v>
      </c>
      <c r="E37" s="91"/>
      <c r="F37" s="466" t="s">
        <v>1100</v>
      </c>
      <c r="G37" s="461">
        <f>SUMIF('capacity data'!C:C,'team overview'!B6,'capacity data'!I:I)</f>
        <v>0</v>
      </c>
    </row>
    <row r="38" spans="1:7" x14ac:dyDescent="0.25">
      <c r="B38" s="113" t="s">
        <v>911</v>
      </c>
      <c r="C38" s="89">
        <f>COUNTIFS('reductions data'!C:C,'team overview'!$B$6,'reductions data'!G:G,'team overview'!B38)</f>
        <v>0</v>
      </c>
      <c r="D38" s="90">
        <f>SUMIFS('reductions data'!H:H,'reductions data'!$C:$C,'team overview'!$B$6,'reductions data'!G:G,'team overview'!B38)</f>
        <v>0</v>
      </c>
      <c r="E38" s="91"/>
      <c r="F38" s="424"/>
      <c r="G38" s="424"/>
    </row>
    <row r="39" spans="1:7" x14ac:dyDescent="0.25">
      <c r="B39" s="113" t="s">
        <v>912</v>
      </c>
      <c r="C39" s="89">
        <f>COUNTIFS('reductions data'!C:C,'team overview'!$B$6,'reductions data'!G:G,'team overview'!B39)</f>
        <v>0</v>
      </c>
      <c r="D39" s="90">
        <f>SUMIFS('reductions data'!H:H,'reductions data'!$C:$C,'team overview'!$B$6,'reductions data'!G:G,'team overview'!B39)</f>
        <v>0</v>
      </c>
      <c r="E39" s="91"/>
      <c r="F39" s="424"/>
      <c r="G39" s="424"/>
    </row>
    <row r="40" spans="1:7" x14ac:dyDescent="0.25">
      <c r="B40" s="113" t="s">
        <v>913</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25">
      <c r="A41" s="91"/>
      <c r="B41" s="113" t="s">
        <v>914</v>
      </c>
      <c r="C41" s="89">
        <f>COUNTIFS('reductions data'!C:C,'team overview'!$B$6,'reductions data'!G:G,'team overview'!B41)</f>
        <v>0</v>
      </c>
      <c r="D41" s="90">
        <f>SUMIFS('reductions data'!H:H,'reductions data'!$C:$C,'team overview'!$B$6,'reductions data'!G:G,'team overview'!B41)</f>
        <v>0</v>
      </c>
      <c r="E41" s="91"/>
      <c r="F41" s="467" t="s">
        <v>1101</v>
      </c>
      <c r="G41" s="469" t="e">
        <f>G34/G37</f>
        <v>#DIV/0!</v>
      </c>
    </row>
    <row r="42" spans="1:7" ht="15.75" customHeight="1" x14ac:dyDescent="0.25">
      <c r="A42" s="91"/>
      <c r="B42" s="113" t="s">
        <v>1287</v>
      </c>
      <c r="C42" s="89">
        <f>COUNTIFS('reductions data'!C:C,'team overview'!$B$6,'reductions data'!G:G,'team overview'!B42)</f>
        <v>0</v>
      </c>
      <c r="D42" s="90">
        <f>SUMIFS('reductions data'!H:H,'reductions data'!$C:$C,'team overview'!$B$6,'reductions data'!G:G,'team overview'!B42)</f>
        <v>0</v>
      </c>
      <c r="E42" s="91"/>
      <c r="F42" s="468"/>
      <c r="G42" s="470"/>
    </row>
    <row r="43" spans="1:7" x14ac:dyDescent="0.25">
      <c r="B43" s="113" t="s">
        <v>915</v>
      </c>
      <c r="C43" s="89">
        <f>COUNTIFS('reductions data'!C:C,'team overview'!$B$6,'reductions data'!G:G,'team overview'!B43)</f>
        <v>0</v>
      </c>
      <c r="D43" s="90">
        <f>SUMIFS('reductions data'!H:H,'reductions data'!$C:$C,'team overview'!$B$6,'reductions data'!G:G,'team overview'!B43)</f>
        <v>0</v>
      </c>
      <c r="E43" s="91"/>
      <c r="F43" s="455"/>
      <c r="G43" s="458"/>
    </row>
    <row r="44" spans="1:7" x14ac:dyDescent="0.25">
      <c r="B44" s="113" t="s">
        <v>916</v>
      </c>
      <c r="C44" s="89">
        <f>COUNTIFS('reductions data'!C:C,'team overview'!$B$6,'reductions data'!G:G,'team overview'!B44)</f>
        <v>0</v>
      </c>
      <c r="D44" s="90">
        <f>SUMIFS('reductions data'!H:H,'reductions data'!$C:$C,'team overview'!$B$6,'reductions data'!G:G,'team overview'!B44)</f>
        <v>0</v>
      </c>
      <c r="E44" s="91"/>
      <c r="F44" s="455"/>
      <c r="G44" s="458"/>
    </row>
    <row r="45" spans="1:7" x14ac:dyDescent="0.25">
      <c r="B45" s="113" t="s">
        <v>917</v>
      </c>
      <c r="C45" s="89">
        <f>COUNTIFS('reductions data'!C:C,'team overview'!$B$6,'reductions data'!G:G,'team overview'!B45)</f>
        <v>0</v>
      </c>
      <c r="D45" s="90">
        <f>SUMIFS('reductions data'!H:H,'reductions data'!$C:$C,'team overview'!$B$6,'reductions data'!G:G,'team overview'!B45)</f>
        <v>0</v>
      </c>
      <c r="E45" s="91"/>
      <c r="F45" s="455"/>
      <c r="G45" s="458"/>
    </row>
    <row r="46" spans="1:7" x14ac:dyDescent="0.25">
      <c r="B46" s="113" t="s">
        <v>918</v>
      </c>
      <c r="C46" s="89">
        <f>COUNTIFS('reductions data'!C:C,'team overview'!$B$6,'reductions data'!G:G,'team overview'!B46)</f>
        <v>0</v>
      </c>
      <c r="D46" s="90">
        <f>SUMIFS('reductions data'!H:H,'reductions data'!$C:$C,'team overview'!$B$6,'reductions data'!G:G,'team overview'!B46)</f>
        <v>0</v>
      </c>
      <c r="E46" s="91"/>
      <c r="F46" s="456"/>
      <c r="G46" s="459"/>
    </row>
    <row r="47" spans="1:7" ht="15.75" customHeight="1" x14ac:dyDescent="0.25">
      <c r="B47" s="113" t="s">
        <v>920</v>
      </c>
      <c r="C47" s="89">
        <f>COUNTIFS('reductions data'!C:C,'team overview'!$B$6,'reductions data'!G:G,'team overview'!B47)</f>
        <v>0</v>
      </c>
      <c r="D47" s="90">
        <f>SUMIFS('reductions data'!H:H,'reductions data'!$C:$C,'team overview'!$B$6,'reductions data'!G:G,'team overview'!B47)</f>
        <v>0</v>
      </c>
      <c r="E47" s="91"/>
      <c r="F47" s="454" t="s">
        <v>1085</v>
      </c>
      <c r="G47" s="457" t="e">
        <f>+G41-'div &amp; regional reduction hours'!N18</f>
        <v>#DIV/0!</v>
      </c>
    </row>
    <row r="48" spans="1:7" x14ac:dyDescent="0.25">
      <c r="B48" s="113" t="s">
        <v>923</v>
      </c>
      <c r="C48" s="89">
        <f>COUNTIFS('reductions data'!C:C,'team overview'!$B$6,'reductions data'!G:G,'team overview'!B48)</f>
        <v>0</v>
      </c>
      <c r="D48" s="90">
        <f>SUMIFS('reductions data'!H:H,'reductions data'!$C:$C,'team overview'!$B$6,'reductions data'!G:G,'team overview'!B48)</f>
        <v>0</v>
      </c>
      <c r="E48" s="91"/>
      <c r="F48" s="455"/>
      <c r="G48" s="458"/>
    </row>
    <row r="49" spans="2:7" x14ac:dyDescent="0.25">
      <c r="B49" s="113" t="s">
        <v>919</v>
      </c>
      <c r="C49" s="89">
        <f>COUNTIFS('reductions data'!C:C,'team overview'!$B$6,'reductions data'!G:G,'team overview'!B49)</f>
        <v>0</v>
      </c>
      <c r="D49" s="90">
        <f>SUMIFS('reductions data'!H:H,'reductions data'!$C:$C,'team overview'!$B$6,'reductions data'!G:G,'team overview'!B49)</f>
        <v>0</v>
      </c>
      <c r="E49" s="91"/>
      <c r="F49" s="455"/>
      <c r="G49" s="458"/>
    </row>
    <row r="50" spans="2:7" x14ac:dyDescent="0.25">
      <c r="B50" s="113" t="s">
        <v>1011</v>
      </c>
      <c r="C50" s="89">
        <f>COUNTIFS('reductions data'!C:C,'team overview'!$B$6,'reductions data'!G:G,'team overview'!B50)</f>
        <v>0</v>
      </c>
      <c r="D50" s="90">
        <f>SUMIFS('reductions data'!H:H,'reductions data'!$C:$C,'team overview'!$B$6,'reductions data'!G:G,'team overview'!B50)</f>
        <v>0</v>
      </c>
      <c r="E50" s="91"/>
      <c r="F50" s="455"/>
      <c r="G50" s="458"/>
    </row>
    <row r="51" spans="2:7" x14ac:dyDescent="0.25">
      <c r="B51" s="113" t="s">
        <v>924</v>
      </c>
      <c r="C51" s="89">
        <f>COUNTIFS('reductions data'!C:C,'team overview'!$B$6,'reductions data'!G:G,'team overview'!B51)</f>
        <v>0</v>
      </c>
      <c r="D51" s="90">
        <f>SUMIFS('reductions data'!H:H,'reductions data'!$C:$C,'team overview'!$B$6,'reductions data'!G:G,'team overview'!B51)</f>
        <v>0</v>
      </c>
      <c r="E51" s="91"/>
      <c r="F51" s="456"/>
      <c r="G51" s="459"/>
    </row>
    <row r="52" spans="2:7" x14ac:dyDescent="0.25">
      <c r="B52" s="113" t="s">
        <v>925</v>
      </c>
      <c r="C52" s="89">
        <f>COUNTIFS('reductions data'!C:C,'team overview'!$B$6,'reductions data'!G:G,'team overview'!B52)</f>
        <v>0</v>
      </c>
      <c r="D52" s="90">
        <f>SUMIFS('reductions data'!H:H,'reductions data'!$C:$C,'team overview'!$B$6,'reductions data'!G:G,'team overview'!B52)</f>
        <v>0</v>
      </c>
      <c r="E52" s="91"/>
      <c r="F52" s="91"/>
      <c r="G52" s="64"/>
    </row>
    <row r="53" spans="2:7" x14ac:dyDescent="0.25">
      <c r="B53" s="113" t="s">
        <v>926</v>
      </c>
      <c r="C53" s="89">
        <f>COUNTIFS('reductions data'!C:C,'team overview'!$B$6,'reductions data'!G:G,'team overview'!B53)</f>
        <v>0</v>
      </c>
      <c r="D53" s="90">
        <f>SUMIFS('reductions data'!H:H,'reductions data'!$C:$C,'team overview'!$B$6,'reductions data'!G:G,'team overview'!B53)</f>
        <v>0</v>
      </c>
      <c r="E53" s="91"/>
      <c r="F53" s="91"/>
      <c r="G53" s="64"/>
    </row>
    <row r="54" spans="2:7" x14ac:dyDescent="0.25">
      <c r="B54" s="113" t="s">
        <v>927</v>
      </c>
      <c r="C54" s="89">
        <f>COUNTIFS('reductions data'!C:C,'team overview'!$B$6,'reductions data'!G:G,'team overview'!B54)</f>
        <v>0</v>
      </c>
      <c r="D54" s="90">
        <f>SUMIFS('reductions data'!H:H,'reductions data'!$C:$C,'team overview'!$B$6,'reductions data'!G:G,'team overview'!B54)</f>
        <v>0</v>
      </c>
      <c r="E54" s="91"/>
      <c r="F54" s="91"/>
      <c r="G54" s="64"/>
    </row>
    <row r="55" spans="2:7" x14ac:dyDescent="0.25">
      <c r="B55" s="113" t="s">
        <v>928</v>
      </c>
      <c r="C55" s="89">
        <f>COUNTIFS('reductions data'!C:C,'team overview'!$B$6,'reductions data'!G:G,'team overview'!B55)</f>
        <v>0</v>
      </c>
      <c r="D55" s="90">
        <f>SUMIFS('reductions data'!H:H,'reductions data'!$C:$C,'team overview'!$B$6,'reductions data'!G:G,'team overview'!B55)</f>
        <v>0</v>
      </c>
      <c r="E55" s="91"/>
      <c r="F55" s="91"/>
      <c r="G55" s="64"/>
    </row>
    <row r="56" spans="2:7" x14ac:dyDescent="0.25">
      <c r="B56" s="113" t="s">
        <v>929</v>
      </c>
      <c r="C56" s="89">
        <f>COUNTIFS('reductions data'!C:C,'team overview'!$B$6,'reductions data'!G:G,'team overview'!B56)</f>
        <v>0</v>
      </c>
      <c r="D56" s="90">
        <f>SUMIFS('reductions data'!H:H,'reductions data'!$C:$C,'team overview'!$B$6,'reductions data'!G:G,'team overview'!B56)</f>
        <v>0</v>
      </c>
      <c r="E56" s="91"/>
      <c r="F56" s="91"/>
      <c r="G56" s="64"/>
    </row>
    <row r="57" spans="2:7" x14ac:dyDescent="0.25">
      <c r="B57" s="113" t="s">
        <v>930</v>
      </c>
      <c r="C57" s="89">
        <f>COUNTIFS('reductions data'!C:C,'team overview'!$B$6,'reductions data'!G:G,'team overview'!B57)</f>
        <v>0</v>
      </c>
      <c r="D57" s="90">
        <f>SUMIFS('reductions data'!H:H,'reductions data'!$C:$C,'team overview'!$B$6,'reductions data'!G:G,'team overview'!B57)</f>
        <v>0</v>
      </c>
      <c r="E57" s="91"/>
      <c r="F57" s="91"/>
      <c r="G57" s="64"/>
    </row>
    <row r="58" spans="2:7" x14ac:dyDescent="0.25">
      <c r="B58" s="113" t="s">
        <v>932</v>
      </c>
      <c r="C58" s="89">
        <f>COUNTIFS('reductions data'!C:C,'team overview'!$B$6,'reductions data'!G:G,'team overview'!B58)</f>
        <v>0</v>
      </c>
      <c r="D58" s="90">
        <f>SUMIFS('reductions data'!H:H,'reductions data'!$C:$C,'team overview'!$B$6,'reductions data'!G:G,'team overview'!B58)</f>
        <v>0</v>
      </c>
      <c r="E58" s="91"/>
      <c r="F58" s="91"/>
      <c r="G58" s="64"/>
    </row>
    <row r="59" spans="2:7" x14ac:dyDescent="0.25">
      <c r="B59" s="113" t="s">
        <v>934</v>
      </c>
      <c r="C59" s="89">
        <f>COUNTIFS('reductions data'!C:C,'team overview'!$B$6,'reductions data'!G:G,'team overview'!B59)</f>
        <v>0</v>
      </c>
      <c r="D59" s="90">
        <f>SUMIFS('reductions data'!H:H,'reductions data'!$C:$C,'team overview'!$B$6,'reductions data'!G:G,'team overview'!B59)</f>
        <v>0</v>
      </c>
      <c r="E59" s="91"/>
      <c r="F59" s="91"/>
      <c r="G59" s="64"/>
    </row>
    <row r="60" spans="2:7" x14ac:dyDescent="0.25">
      <c r="B60" s="113" t="s">
        <v>936</v>
      </c>
      <c r="C60" s="89">
        <f>COUNTIFS('reductions data'!C:C,'team overview'!$B$6,'reductions data'!G:G,'team overview'!B60)</f>
        <v>0</v>
      </c>
      <c r="D60" s="90">
        <f>SUMIFS('reductions data'!H:H,'reductions data'!$C:$C,'team overview'!$B$6,'reductions data'!G:G,'team overview'!B60)</f>
        <v>0</v>
      </c>
      <c r="E60" s="91"/>
      <c r="F60" s="91"/>
      <c r="G60" s="64"/>
    </row>
    <row r="61" spans="2:7" x14ac:dyDescent="0.25">
      <c r="B61" s="113" t="s">
        <v>1280</v>
      </c>
      <c r="C61" s="89">
        <f>COUNTIFS('reductions data'!C:C,'team overview'!$B$6,'reductions data'!G:G,'team overview'!B61)</f>
        <v>0</v>
      </c>
      <c r="D61" s="90">
        <f>SUMIFS('reductions data'!H:H,'reductions data'!$C:$C,'team overview'!$B$6,'reductions data'!G:G,'team overview'!B61)</f>
        <v>0</v>
      </c>
      <c r="E61" s="91"/>
      <c r="F61" s="91"/>
      <c r="G61" s="64"/>
    </row>
    <row r="62" spans="2:7" x14ac:dyDescent="0.25">
      <c r="B62" s="113" t="s">
        <v>1281</v>
      </c>
      <c r="C62" s="89">
        <f>COUNTIFS('reductions data'!C:C,'team overview'!$B$6,'reductions data'!G:G,'team overview'!B62)</f>
        <v>0</v>
      </c>
      <c r="D62" s="90">
        <f>SUMIFS('reductions data'!H:H,'reductions data'!$C:$C,'team overview'!$B$6,'reductions data'!G:G,'team overview'!B62)</f>
        <v>0</v>
      </c>
      <c r="E62" s="91"/>
      <c r="F62" s="91"/>
      <c r="G62" s="64"/>
    </row>
    <row r="63" spans="2:7" x14ac:dyDescent="0.25">
      <c r="B63" s="324" t="s">
        <v>1278</v>
      </c>
      <c r="C63" s="89">
        <f>COUNTIFS('reductions data'!C:C,'team overview'!$B$6,'reductions data'!G:G,'team overview'!B63)</f>
        <v>0</v>
      </c>
      <c r="D63" s="90">
        <f>SUMIFS('reductions data'!H:H,'reductions data'!$C:$C,'team overview'!$B$6,'reductions data'!G:G,'team overview'!B63)</f>
        <v>0</v>
      </c>
      <c r="E63" s="91"/>
      <c r="F63" s="91"/>
      <c r="G63" s="64"/>
    </row>
    <row r="64" spans="2:7" x14ac:dyDescent="0.25">
      <c r="B64" s="324" t="s">
        <v>1279</v>
      </c>
      <c r="C64" s="89">
        <f>COUNTIFS('reductions data'!C:C,'team overview'!$B$6,'reductions data'!G:G,'team overview'!B64)</f>
        <v>0</v>
      </c>
      <c r="D64" s="90">
        <f>SUMIFS('reductions data'!H:H,'reductions data'!$C:$C,'team overview'!$B$6,'reductions data'!G:G,'team overview'!B64)</f>
        <v>0</v>
      </c>
      <c r="E64" s="91"/>
      <c r="F64" s="91"/>
      <c r="G64" s="64"/>
    </row>
    <row r="65" spans="2:19" x14ac:dyDescent="0.25">
      <c r="B65" s="324" t="s">
        <v>1288</v>
      </c>
      <c r="C65" s="89">
        <f>COUNTIFS('reductions data'!C:C,'team overview'!$B$6,'reductions data'!G:G,'team overview'!B65)</f>
        <v>0</v>
      </c>
      <c r="D65" s="90">
        <f>SUMIFS('reductions data'!H:H,'reductions data'!$C:$C,'team overview'!$B$6,'reductions data'!G:G,'team overview'!B65)</f>
        <v>0</v>
      </c>
      <c r="E65" s="91"/>
      <c r="F65" s="91"/>
      <c r="G65" s="64"/>
    </row>
    <row r="66" spans="2:19" x14ac:dyDescent="0.25">
      <c r="B66" s="113" t="s">
        <v>933</v>
      </c>
      <c r="C66" s="89">
        <f>COUNTIFS('reductions data'!C:C,'team overview'!$B$6,'reductions data'!G:G,'team overview'!B66)</f>
        <v>0</v>
      </c>
      <c r="D66" s="90">
        <f>SUMIFS('reductions data'!H:H,'reductions data'!$C:$C,'team overview'!$B$6,'reductions data'!G:G,'team overview'!B66)</f>
        <v>0</v>
      </c>
      <c r="E66" s="91"/>
      <c r="F66" s="91"/>
      <c r="G66" s="64"/>
    </row>
    <row r="67" spans="2:19" x14ac:dyDescent="0.25">
      <c r="B67" s="113" t="s">
        <v>938</v>
      </c>
      <c r="C67" s="89">
        <f>COUNTIFS('reductions data'!C:C,'team overview'!$B$6,'reductions data'!G:G,'team overview'!B67)</f>
        <v>0</v>
      </c>
      <c r="D67" s="90">
        <f>SUMIFS('reductions data'!H:H,'reductions data'!$C:$C,'team overview'!$B$6,'reductions data'!G:G,'team overview'!B67)</f>
        <v>0</v>
      </c>
      <c r="E67" s="91"/>
      <c r="F67" s="91"/>
      <c r="G67" s="64"/>
    </row>
    <row r="68" spans="2:19" x14ac:dyDescent="0.25">
      <c r="B68" s="113" t="s">
        <v>935</v>
      </c>
      <c r="C68" s="89">
        <f>COUNTIFS('reductions data'!C:C,'team overview'!$B$6,'reductions data'!G:G,'team overview'!B68)</f>
        <v>0</v>
      </c>
      <c r="D68" s="90">
        <f>SUMIFS('reductions data'!H:H,'reductions data'!$C:$C,'team overview'!$B$6,'reductions data'!G:G,'team overview'!B68)</f>
        <v>0</v>
      </c>
      <c r="E68" s="91"/>
      <c r="F68" s="91"/>
      <c r="G68" s="64"/>
    </row>
    <row r="69" spans="2:19" x14ac:dyDescent="0.25">
      <c r="B69" s="112" t="s">
        <v>1282</v>
      </c>
      <c r="C69" s="89">
        <f>COUNTIFS('reductions data'!C:C,'team overview'!$B$6,'reductions data'!G:G,'team overview'!B69)</f>
        <v>0</v>
      </c>
      <c r="D69" s="90">
        <f>SUMIFS('reductions data'!H:H,'reductions data'!$C:$C,'team overview'!$B$6,'reductions data'!G:G,'team overview'!B69)</f>
        <v>0</v>
      </c>
      <c r="E69" s="91"/>
      <c r="F69" s="91"/>
      <c r="G69" s="64"/>
    </row>
    <row r="70" spans="2:19" x14ac:dyDescent="0.25">
      <c r="B70" s="113" t="s">
        <v>1283</v>
      </c>
      <c r="C70" s="89">
        <f>COUNTIFS('reductions data'!C:C,'team overview'!$B$6,'reductions data'!G:G,'team overview'!B70)</f>
        <v>0</v>
      </c>
      <c r="D70" s="90">
        <f>SUMIFS('reductions data'!H:H,'reductions data'!$C:$C,'team overview'!$B$6,'reductions data'!G:G,'team overview'!B70)</f>
        <v>0</v>
      </c>
      <c r="E70" s="91"/>
      <c r="F70" s="91"/>
      <c r="G70" s="64"/>
    </row>
    <row r="71" spans="2:19" x14ac:dyDescent="0.25">
      <c r="B71" s="113" t="s">
        <v>939</v>
      </c>
      <c r="C71" s="89">
        <f>COUNTIFS('reductions data'!C:C,'team overview'!$B$6,'reductions data'!G:G,'team overview'!B71)</f>
        <v>0</v>
      </c>
      <c r="D71" s="90">
        <f>SUMIFS('reductions data'!H:H,'reductions data'!$C:$C,'team overview'!$B$6,'reductions data'!G:G,'team overview'!B71)</f>
        <v>0</v>
      </c>
      <c r="E71" s="91"/>
      <c r="F71" s="91"/>
      <c r="G71" s="64"/>
    </row>
    <row r="72" spans="2:19" x14ac:dyDescent="0.25">
      <c r="B72" s="113" t="s">
        <v>940</v>
      </c>
      <c r="C72" s="89">
        <f>COUNTIFS('reductions data'!C:C,'team overview'!$B$6,'reductions data'!G:G,'team overview'!B72)</f>
        <v>0</v>
      </c>
      <c r="D72" s="90">
        <f>SUMIFS('reductions data'!H:H,'reductions data'!$C:$C,'team overview'!$B$6,'reductions data'!G:G,'team overview'!B72)</f>
        <v>0</v>
      </c>
      <c r="E72" s="91"/>
      <c r="F72" s="91"/>
      <c r="G72" s="64"/>
    </row>
    <row r="73" spans="2:19" x14ac:dyDescent="0.25">
      <c r="B73" s="113" t="s">
        <v>941</v>
      </c>
      <c r="C73" s="89">
        <f>COUNTIFS('reductions data'!C:C,'team overview'!$B$6,'reductions data'!G:G,'team overview'!B73)</f>
        <v>0</v>
      </c>
      <c r="D73" s="90">
        <f>SUMIFS('reductions data'!H:H,'reductions data'!$C:$C,'team overview'!$B$6,'reductions data'!G:G,'team overview'!B73)</f>
        <v>0</v>
      </c>
      <c r="E73" s="91"/>
      <c r="F73" s="91"/>
      <c r="G73" s="64"/>
    </row>
    <row r="74" spans="2:19" x14ac:dyDescent="0.25">
      <c r="B74" s="113" t="s">
        <v>942</v>
      </c>
      <c r="C74" s="89">
        <f>COUNTIFS('reductions data'!C:C,'team overview'!$B$6,'reductions data'!G:G,'team overview'!B74)</f>
        <v>0</v>
      </c>
      <c r="D74" s="90">
        <f>SUMIFS('reductions data'!H:H,'reductions data'!$C:$C,'team overview'!$B$6,'reductions data'!G:G,'team overview'!B74)</f>
        <v>0</v>
      </c>
      <c r="E74" s="91"/>
      <c r="F74" s="91"/>
      <c r="G74" s="64"/>
    </row>
    <row r="75" spans="2:19" x14ac:dyDescent="0.25">
      <c r="B75" s="113" t="s">
        <v>943</v>
      </c>
      <c r="C75" s="89">
        <f>COUNTIFS('reductions data'!C:C,'team overview'!$B$6,'reductions data'!G:G,'team overview'!B75)</f>
        <v>0</v>
      </c>
      <c r="D75" s="90">
        <f>SUMIFS('reductions data'!H:H,'reductions data'!$C:$C,'team overview'!$B$6,'reductions data'!G:G,'team overview'!B75)</f>
        <v>0</v>
      </c>
      <c r="E75" s="91"/>
      <c r="F75" s="91"/>
      <c r="G75" s="64"/>
    </row>
    <row r="76" spans="2:19" x14ac:dyDescent="0.25">
      <c r="B76" s="113" t="s">
        <v>944</v>
      </c>
      <c r="C76" s="89">
        <f>COUNTIFS('reductions data'!C:C,'team overview'!$B$6,'reductions data'!G:G,'team overview'!B76)</f>
        <v>0</v>
      </c>
      <c r="D76" s="90">
        <f>SUMIFS('reductions data'!H:H,'reductions data'!$C:$C,'team overview'!$B$6,'reductions data'!G:G,'team overview'!B76)</f>
        <v>0</v>
      </c>
      <c r="E76" s="91"/>
      <c r="F76" s="91"/>
      <c r="G76" s="64"/>
    </row>
    <row r="77" spans="2:19" x14ac:dyDescent="0.25">
      <c r="B77" s="113" t="s">
        <v>931</v>
      </c>
      <c r="C77" s="89">
        <f>COUNTIFS('reductions data'!C:C,'team overview'!$B$6,'reductions data'!G:G,'team overview'!B77)</f>
        <v>0</v>
      </c>
      <c r="D77" s="90">
        <f>SUMIFS('reductions data'!H:H,'reductions data'!$C:$C,'team overview'!$B$6,'reductions data'!G:G,'team overview'!B77)</f>
        <v>0</v>
      </c>
      <c r="E77" s="91"/>
      <c r="F77" s="91"/>
      <c r="G77" s="64"/>
    </row>
    <row r="78" spans="2:19" x14ac:dyDescent="0.25">
      <c r="B78" s="113" t="s">
        <v>945</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25">
      <c r="B79" s="324" t="s">
        <v>1284</v>
      </c>
      <c r="C79" s="329">
        <f>COUNTIFS('reductions data'!C:C,'team overview'!$B$6,'reductions data'!G:G,'team overview'!B79)</f>
        <v>0</v>
      </c>
      <c r="D79" s="90">
        <f>SUMIFS('reductions data'!H:H,'reductions data'!$C:$C,'team overview'!$B$6,'reductions data'!G:G,'team overview'!B79)</f>
        <v>0</v>
      </c>
      <c r="E79" s="91"/>
      <c r="F79" s="91"/>
      <c r="G79" s="64"/>
    </row>
    <row r="80" spans="2:19" ht="15.75" x14ac:dyDescent="0.25">
      <c r="B80" s="324" t="s">
        <v>1285</v>
      </c>
      <c r="C80" s="329">
        <f>COUNTIFS('reductions data'!C:C,'team overview'!$B$6,'reductions data'!G:G,'team overview'!B80)</f>
        <v>0</v>
      </c>
      <c r="D80" s="90">
        <f>SUMIFS('reductions data'!H:H,'reductions data'!$C:$C,'team overview'!$B$6,'reductions data'!G:G,'team overview'!B80)</f>
        <v>0</v>
      </c>
      <c r="E80" s="1"/>
      <c r="F80" s="1"/>
    </row>
    <row r="81" spans="2:4" x14ac:dyDescent="0.25">
      <c r="B81" s="324" t="s">
        <v>1289</v>
      </c>
      <c r="C81" s="329">
        <f>COUNTIFS('reductions data'!C:C,'team overview'!$B$6,'reductions data'!G:G,'team overview'!B81)</f>
        <v>0</v>
      </c>
      <c r="D81" s="90">
        <f>SUMIFS('reductions data'!H:H,'reductions data'!$C:$C,'team overview'!$B$6,'reductions data'!G:G,'team overview'!B81)</f>
        <v>0</v>
      </c>
    </row>
    <row r="82" spans="2:4" x14ac:dyDescent="0.25">
      <c r="B82" s="112" t="s">
        <v>946</v>
      </c>
      <c r="C82" s="89">
        <f>COUNTIFS('reductions data'!C:C,'team overview'!$B$6,'reductions data'!G:G,'team overview'!B82)</f>
        <v>0</v>
      </c>
      <c r="D82" s="90">
        <f>SUMIFS('reductions data'!H:H,'reductions data'!$C:$C,'team overview'!$B$6,'reductions data'!G:G,'team overview'!B82)</f>
        <v>0</v>
      </c>
    </row>
    <row r="83" spans="2:4" x14ac:dyDescent="0.25">
      <c r="B83" s="113" t="s">
        <v>947</v>
      </c>
      <c r="C83" s="89">
        <f>COUNTIFS('reductions data'!C:C,'team overview'!$B$6,'reductions data'!G:G,'team overview'!B83)</f>
        <v>0</v>
      </c>
      <c r="D83" s="90">
        <f>SUMIFS('reductions data'!H:H,'reductions data'!$C:$C,'team overview'!$B$6,'reductions data'!G:G,'team overview'!B83)</f>
        <v>0</v>
      </c>
    </row>
    <row r="84" spans="2:4" x14ac:dyDescent="0.25">
      <c r="B84" s="113" t="s">
        <v>948</v>
      </c>
      <c r="C84" s="89">
        <f>COUNTIFS('reductions data'!C:C,'team overview'!$B$6,'reductions data'!G:G,'team overview'!B84)</f>
        <v>0</v>
      </c>
      <c r="D84" s="90">
        <f>SUMIFS('reductions data'!H:H,'reductions data'!$C:$C,'team overview'!$B$6,'reductions data'!G:G,'team overview'!B84)</f>
        <v>0</v>
      </c>
    </row>
    <row r="85" spans="2:4" x14ac:dyDescent="0.25">
      <c r="B85" s="113" t="s">
        <v>949</v>
      </c>
      <c r="C85" s="89">
        <f>COUNTIFS('reductions data'!C:C,'team overview'!$B$6,'reductions data'!G:G,'team overview'!B85)</f>
        <v>0</v>
      </c>
      <c r="D85" s="90">
        <f>SUMIFS('reductions data'!H:H,'reductions data'!$C:$C,'team overview'!$B$6,'reductions data'!G:G,'team overview'!B85)</f>
        <v>0</v>
      </c>
    </row>
    <row r="86" spans="2:4" x14ac:dyDescent="0.25">
      <c r="B86" s="113" t="s">
        <v>950</v>
      </c>
      <c r="C86" s="89">
        <f>COUNTIFS('reductions data'!C:C,'team overview'!$B$6,'reductions data'!G:G,'team overview'!B86)</f>
        <v>0</v>
      </c>
      <c r="D86" s="90">
        <f>SUMIFS('reductions data'!H:H,'reductions data'!$C:$C,'team overview'!$B$6,'reductions data'!G:G,'team overview'!B86)</f>
        <v>0</v>
      </c>
    </row>
    <row r="87" spans="2:4" x14ac:dyDescent="0.25">
      <c r="B87" s="113" t="s">
        <v>951</v>
      </c>
      <c r="C87" s="89">
        <f>COUNTIFS('reductions data'!C:C,'team overview'!$B$6,'reductions data'!G:G,'team overview'!B87)</f>
        <v>0</v>
      </c>
      <c r="D87" s="90">
        <f>SUMIFS('reductions data'!H:H,'reductions data'!$C:$C,'team overview'!$B$6,'reductions data'!G:G,'team overview'!B87)</f>
        <v>0</v>
      </c>
    </row>
    <row r="88" spans="2:4" x14ac:dyDescent="0.25">
      <c r="B88" s="113" t="s">
        <v>952</v>
      </c>
      <c r="C88" s="89">
        <f>COUNTIFS('reductions data'!C:C,'team overview'!$B$6,'reductions data'!G:G,'team overview'!B88)</f>
        <v>0</v>
      </c>
      <c r="D88" s="90">
        <f>SUMIFS('reductions data'!H:H,'reductions data'!$C:$C,'team overview'!$B$6,'reductions data'!G:G,'team overview'!B88)</f>
        <v>0</v>
      </c>
    </row>
  </sheetData>
  <sortState xmlns:xlrd2="http://schemas.microsoft.com/office/spreadsheetml/2017/richdata2" ref="B34:D85">
    <sortCondition ref="B34:B85"/>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3" priority="3" operator="lessThan">
      <formula>0.9</formula>
    </cfRule>
    <cfRule type="cellIs" dxfId="5902" priority="4" operator="greaterThanOrEqual">
      <formula>1.1</formula>
    </cfRule>
  </conditionalFormatting>
  <conditionalFormatting sqref="F11">
    <cfRule type="cellIs" dxfId="5901" priority="1" operator="lessThan">
      <formula>0.9</formula>
    </cfRule>
    <cfRule type="cellIs" dxfId="5900"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0"/>
  </sheetPr>
  <dimension ref="A1:AO212"/>
  <sheetViews>
    <sheetView showGridLines="0" zoomScale="80" zoomScaleNormal="80" workbookViewId="0">
      <selection activeCell="V39" sqref="V39"/>
    </sheetView>
  </sheetViews>
  <sheetFormatPr defaultColWidth="8.85546875" defaultRowHeight="15" x14ac:dyDescent="0.25"/>
  <cols>
    <col min="2" max="2" width="40.85546875" bestFit="1" customWidth="1"/>
    <col min="3" max="3" width="35" bestFit="1" customWidth="1"/>
    <col min="14" max="15" width="10" bestFit="1" customWidth="1"/>
    <col min="16" max="16" width="10.42578125" customWidth="1"/>
    <col min="17" max="17" width="10" bestFit="1" customWidth="1"/>
    <col min="18" max="18" width="10.140625" bestFit="1" customWidth="1"/>
    <col min="19" max="19" width="10.85546875" bestFit="1" customWidth="1"/>
    <col min="20" max="20" width="11.42578125" bestFit="1" customWidth="1"/>
    <col min="23" max="23" width="40.85546875" bestFit="1" customWidth="1"/>
    <col min="24" max="24" width="20.140625" customWidth="1"/>
    <col min="25" max="25" width="11.42578125" bestFit="1" customWidth="1"/>
    <col min="26" max="26" width="12.140625" bestFit="1" customWidth="1"/>
    <col min="27" max="27" width="11.42578125" bestFit="1" customWidth="1"/>
    <col min="28" max="29" width="12.140625" bestFit="1" customWidth="1"/>
    <col min="30" max="31" width="11.42578125" bestFit="1" customWidth="1"/>
  </cols>
  <sheetData>
    <row r="1" spans="1:41" ht="70.5" customHeight="1" x14ac:dyDescent="0.25">
      <c r="A1" s="485" t="s">
        <v>1102</v>
      </c>
      <c r="B1" s="486"/>
      <c r="C1" s="486"/>
      <c r="D1" s="486"/>
      <c r="E1" s="486"/>
      <c r="F1" s="486"/>
      <c r="G1" s="486"/>
      <c r="H1" s="486"/>
      <c r="I1" s="486"/>
      <c r="J1" s="486"/>
      <c r="K1" s="486"/>
      <c r="L1" s="486"/>
      <c r="M1" s="486"/>
      <c r="N1" s="474"/>
      <c r="O1" s="474"/>
      <c r="P1" s="474"/>
      <c r="Q1" s="474"/>
      <c r="R1" s="474"/>
      <c r="S1" s="474"/>
      <c r="T1" s="474"/>
      <c r="U1" s="474"/>
      <c r="V1" s="474"/>
      <c r="W1" s="474"/>
      <c r="X1" s="474"/>
      <c r="Y1" s="474"/>
      <c r="Z1" s="474"/>
      <c r="AA1" s="474"/>
      <c r="AB1" s="474"/>
      <c r="AC1" s="474"/>
      <c r="AD1" s="474"/>
      <c r="AE1" s="474"/>
      <c r="AF1" s="474"/>
      <c r="AG1" s="474"/>
      <c r="AH1" s="474"/>
      <c r="AI1" s="474"/>
      <c r="AJ1" s="474"/>
      <c r="AK1" s="474"/>
      <c r="AL1" s="474"/>
      <c r="AM1" s="474"/>
      <c r="AN1" s="255"/>
    </row>
    <row r="2" spans="1:41" ht="51" customHeight="1" x14ac:dyDescent="0.25">
      <c r="A2" s="490"/>
      <c r="B2" s="490"/>
      <c r="C2" s="490"/>
      <c r="D2" s="490"/>
      <c r="E2" s="490"/>
      <c r="F2" s="490"/>
      <c r="G2" s="490"/>
      <c r="H2" s="490"/>
      <c r="I2" s="490"/>
      <c r="J2" s="490"/>
      <c r="K2" s="490"/>
      <c r="L2" s="490"/>
      <c r="M2" s="490"/>
      <c r="N2" s="490"/>
      <c r="O2" s="490"/>
      <c r="P2" s="490"/>
      <c r="Q2" s="490"/>
      <c r="R2" s="490"/>
      <c r="S2" s="490"/>
      <c r="T2" s="490"/>
      <c r="U2" s="490"/>
      <c r="V2" s="490"/>
      <c r="W2" s="490"/>
      <c r="X2" s="490"/>
      <c r="Y2" s="490"/>
      <c r="Z2" s="490"/>
      <c r="AA2" s="490"/>
      <c r="AB2" s="490"/>
      <c r="AC2" s="490"/>
      <c r="AD2" s="490"/>
      <c r="AE2" s="490"/>
      <c r="AF2" s="490"/>
      <c r="AG2" s="490"/>
      <c r="AH2" s="490"/>
      <c r="AI2" s="490"/>
      <c r="AJ2" s="490"/>
      <c r="AK2" s="490"/>
      <c r="AL2" s="490"/>
      <c r="AM2" s="490"/>
      <c r="AN2" s="490"/>
    </row>
    <row r="4" spans="1:41" ht="15.75" thickBot="1" x14ac:dyDescent="0.3"/>
    <row r="5" spans="1:41" ht="27.75" customHeight="1" thickBot="1" x14ac:dyDescent="0.3">
      <c r="B5" s="1"/>
      <c r="C5" s="2"/>
      <c r="D5" s="487" t="s">
        <v>1103</v>
      </c>
      <c r="E5" s="488"/>
      <c r="F5" s="488"/>
      <c r="G5" s="488"/>
      <c r="H5" s="488"/>
      <c r="I5" s="488"/>
      <c r="J5" s="488"/>
      <c r="K5" s="488"/>
      <c r="L5" s="488"/>
      <c r="M5" s="488"/>
      <c r="N5" s="488"/>
      <c r="O5" s="488"/>
      <c r="P5" s="488"/>
      <c r="Q5" s="488"/>
      <c r="R5" s="488"/>
      <c r="S5" s="488"/>
      <c r="T5" s="489"/>
      <c r="W5" s="1"/>
      <c r="X5" s="2"/>
      <c r="Y5" s="491" t="s">
        <v>1104</v>
      </c>
      <c r="Z5" s="492"/>
      <c r="AA5" s="492"/>
      <c r="AB5" s="492"/>
      <c r="AC5" s="492"/>
      <c r="AD5" s="492"/>
      <c r="AE5" s="492"/>
      <c r="AF5" s="492"/>
      <c r="AG5" s="492"/>
      <c r="AH5" s="492"/>
      <c r="AI5" s="492"/>
      <c r="AJ5" s="492"/>
      <c r="AK5" s="492"/>
      <c r="AL5" s="492"/>
      <c r="AM5" s="492"/>
      <c r="AN5" s="492"/>
    </row>
    <row r="6" spans="1:41" x14ac:dyDescent="0.25">
      <c r="B6" s="379" t="s">
        <v>853</v>
      </c>
      <c r="C6" s="125" t="s">
        <v>1105</v>
      </c>
      <c r="D6" s="38" t="s">
        <v>879</v>
      </c>
      <c r="E6" s="38" t="s">
        <v>880</v>
      </c>
      <c r="F6" s="38" t="s">
        <v>881</v>
      </c>
      <c r="G6" s="38" t="s">
        <v>882</v>
      </c>
      <c r="H6" s="38" t="s">
        <v>883</v>
      </c>
      <c r="I6" s="38" t="s">
        <v>884</v>
      </c>
      <c r="J6" s="38" t="s">
        <v>885</v>
      </c>
      <c r="K6" s="38" t="s">
        <v>886</v>
      </c>
      <c r="L6" s="38" t="s">
        <v>887</v>
      </c>
      <c r="M6" s="38" t="s">
        <v>888</v>
      </c>
      <c r="N6" s="38" t="s">
        <v>889</v>
      </c>
      <c r="O6" s="38" t="s">
        <v>890</v>
      </c>
      <c r="P6" s="38" t="s">
        <v>891</v>
      </c>
      <c r="Q6" s="38" t="s">
        <v>892</v>
      </c>
      <c r="R6" s="38" t="s">
        <v>893</v>
      </c>
      <c r="S6" s="38" t="s">
        <v>894</v>
      </c>
      <c r="T6" s="125" t="s">
        <v>896</v>
      </c>
      <c r="U6" s="64"/>
      <c r="V6" s="64"/>
      <c r="W6" s="124" t="s">
        <v>853</v>
      </c>
      <c r="X6" s="126" t="s">
        <v>1105</v>
      </c>
      <c r="Y6" s="38" t="s">
        <v>879</v>
      </c>
      <c r="Z6" s="38" t="s">
        <v>880</v>
      </c>
      <c r="AA6" s="38" t="s">
        <v>881</v>
      </c>
      <c r="AB6" s="38" t="s">
        <v>882</v>
      </c>
      <c r="AC6" s="38" t="s">
        <v>883</v>
      </c>
      <c r="AD6" s="38" t="s">
        <v>884</v>
      </c>
      <c r="AE6" s="38" t="s">
        <v>885</v>
      </c>
      <c r="AF6" s="38" t="s">
        <v>886</v>
      </c>
      <c r="AG6" s="38" t="s">
        <v>887</v>
      </c>
      <c r="AH6" s="38" t="s">
        <v>888</v>
      </c>
      <c r="AI6" s="38" t="s">
        <v>889</v>
      </c>
      <c r="AJ6" s="38" t="s">
        <v>890</v>
      </c>
      <c r="AK6" s="38" t="s">
        <v>891</v>
      </c>
      <c r="AL6" s="38" t="s">
        <v>892</v>
      </c>
      <c r="AM6" s="38" t="s">
        <v>893</v>
      </c>
      <c r="AN6" s="38" t="s">
        <v>894</v>
      </c>
      <c r="AO6" s="38" t="s">
        <v>1016</v>
      </c>
    </row>
    <row r="7" spans="1:41" x14ac:dyDescent="0.25">
      <c r="B7" s="493" t="s">
        <v>17</v>
      </c>
      <c r="C7" s="128" t="s">
        <v>1019</v>
      </c>
      <c r="D7" s="378">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82" t="s">
        <v>17</v>
      </c>
      <c r="X7" s="128" t="s">
        <v>1019</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25">
      <c r="B8" s="494"/>
      <c r="C8" s="129" t="s">
        <v>1024</v>
      </c>
      <c r="D8" s="378">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83"/>
      <c r="X8" s="129" t="s">
        <v>1024</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25">
      <c r="B9" s="494"/>
      <c r="C9" s="129" t="s">
        <v>1025</v>
      </c>
      <c r="D9" s="378">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83"/>
      <c r="X9" s="129" t="s">
        <v>1025</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25">
      <c r="B10" s="494"/>
      <c r="C10" s="129" t="s">
        <v>1026</v>
      </c>
      <c r="D10" s="378">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83"/>
      <c r="X10" s="129" t="s">
        <v>1026</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25">
      <c r="B11" s="369"/>
      <c r="C11" s="130" t="s">
        <v>1370</v>
      </c>
      <c r="D11" s="378">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84"/>
      <c r="X11" s="130" t="s">
        <v>1370</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25">
      <c r="B12" s="482" t="s">
        <v>18</v>
      </c>
      <c r="C12" s="128" t="s">
        <v>1019</v>
      </c>
      <c r="D12" s="378">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76" t="s">
        <v>18</v>
      </c>
      <c r="X12" s="128" t="s">
        <v>1019</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25">
      <c r="B13" s="483"/>
      <c r="C13" s="129" t="s">
        <v>1024</v>
      </c>
      <c r="D13" s="378">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77"/>
      <c r="X13" s="129" t="s">
        <v>1024</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25">
      <c r="B14" s="483"/>
      <c r="C14" s="129" t="s">
        <v>1025</v>
      </c>
      <c r="D14" s="378">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77"/>
      <c r="X14" s="129" t="s">
        <v>1025</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25">
      <c r="B15" s="483"/>
      <c r="C15" s="129" t="s">
        <v>1026</v>
      </c>
      <c r="D15" s="378">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77"/>
      <c r="X15" s="129" t="s">
        <v>1026</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25">
      <c r="B16" s="484"/>
      <c r="C16" s="130" t="s">
        <v>1370</v>
      </c>
      <c r="D16" s="378">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78"/>
      <c r="X16" s="130" t="s">
        <v>1370</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25">
      <c r="B17" s="482" t="s">
        <v>19</v>
      </c>
      <c r="C17" s="128" t="s">
        <v>1019</v>
      </c>
      <c r="D17" s="378">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76" t="s">
        <v>19</v>
      </c>
      <c r="X17" s="128" t="s">
        <v>1019</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25">
      <c r="B18" s="483"/>
      <c r="C18" s="129" t="s">
        <v>1024</v>
      </c>
      <c r="D18" s="378">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77"/>
      <c r="X18" s="129" t="s">
        <v>1024</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25">
      <c r="B19" s="483"/>
      <c r="C19" s="129" t="s">
        <v>1025</v>
      </c>
      <c r="D19" s="378">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77"/>
      <c r="X19" s="129" t="s">
        <v>1025</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25">
      <c r="B20" s="483"/>
      <c r="C20" s="129" t="s">
        <v>1026</v>
      </c>
      <c r="D20" s="378">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77"/>
      <c r="X20" s="129" t="s">
        <v>1026</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25">
      <c r="B21" s="484"/>
      <c r="C21" s="130" t="s">
        <v>1370</v>
      </c>
      <c r="D21" s="378">
        <f>SUMIFS('caseload data'!E:E,'caseload data'!$D:$D,"DMY",'caseload data'!$A:$A,"Greater Manchester")</f>
        <v>0</v>
      </c>
      <c r="E21" s="378">
        <f>SUMIFS('caseload data'!F:F,'caseload data'!$D:$D,"DMY",'caseload data'!$A:$A,"Greater Manchester")</f>
        <v>0</v>
      </c>
      <c r="F21" s="378">
        <f>SUMIFS('caseload data'!G:G,'caseload data'!$D:$D,"DMY",'caseload data'!$A:$A,"Greater Manchester")</f>
        <v>0</v>
      </c>
      <c r="G21" s="378">
        <f>SUMIFS('caseload data'!H:H,'caseload data'!$D:$D,"DMY",'caseload data'!$A:$A,"Greater Manchester")</f>
        <v>0</v>
      </c>
      <c r="H21" s="378">
        <f>SUMIFS('caseload data'!I:I,'caseload data'!$D:$D,"DMY",'caseload data'!$A:$A,"Greater Manchester")</f>
        <v>0</v>
      </c>
      <c r="I21" s="378">
        <f>SUMIFS('caseload data'!J:J,'caseload data'!$D:$D,"DMY",'caseload data'!$A:$A,"Greater Manchester")</f>
        <v>0</v>
      </c>
      <c r="J21" s="378">
        <f>SUMIFS('caseload data'!K:K,'caseload data'!$D:$D,"DMY",'caseload data'!$A:$A,"Greater Manchester")</f>
        <v>0</v>
      </c>
      <c r="K21" s="378">
        <f>SUMIFS('caseload data'!L:L,'caseload data'!$D:$D,"DMY",'caseload data'!$A:$A,"Greater Manchester")</f>
        <v>0</v>
      </c>
      <c r="L21" s="378">
        <f>SUMIFS('caseload data'!M:M,'caseload data'!$D:$D,"DMY",'caseload data'!$A:$A,"Greater Manchester")</f>
        <v>0</v>
      </c>
      <c r="M21" s="378">
        <f>SUMIFS('caseload data'!N:N,'caseload data'!$D:$D,"DMY",'caseload data'!$A:$A,"Greater Manchester")</f>
        <v>0</v>
      </c>
      <c r="N21" s="378">
        <f>SUMIFS('caseload data'!O:O,'caseload data'!$D:$D,"DMY",'caseload data'!$A:$A,"Greater Manchester")</f>
        <v>0</v>
      </c>
      <c r="O21" s="378">
        <f>SUMIFS('caseload data'!P:P,'caseload data'!$D:$D,"DMY",'caseload data'!$A:$A,"Greater Manchester")</f>
        <v>0</v>
      </c>
      <c r="P21" s="378">
        <f>SUMIFS('caseload data'!Q:Q,'caseload data'!$D:$D,"DMY",'caseload data'!$A:$A,"Greater Manchester")</f>
        <v>0</v>
      </c>
      <c r="Q21" s="378">
        <f>SUMIFS('caseload data'!R:R,'caseload data'!$D:$D,"DMY",'caseload data'!$A:$A,"Greater Manchester")</f>
        <v>0</v>
      </c>
      <c r="R21" s="378">
        <f>SUMIFS('caseload data'!S:S,'caseload data'!$D:$D,"DMY",'caseload data'!$A:$A,"Greater Manchester")</f>
        <v>0</v>
      </c>
      <c r="S21" s="378">
        <f>SUMIFS('caseload data'!T:T,'caseload data'!$D:$D,"DMY",'caseload data'!$A:$A,"Greater Manchester")</f>
        <v>0</v>
      </c>
      <c r="T21" s="94">
        <f>SUMIFS('caseload data'!V:V,'caseload data'!$D:$D,"DMY",'caseload data'!$A:$A,"Greater Manchester")</f>
        <v>0</v>
      </c>
      <c r="U21" s="64"/>
      <c r="V21" s="64"/>
      <c r="W21" s="478"/>
      <c r="X21" s="130" t="s">
        <v>1370</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25">
      <c r="B22" s="482" t="s">
        <v>20</v>
      </c>
      <c r="C22" s="128" t="s">
        <v>1019</v>
      </c>
      <c r="D22" s="378">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76" t="s">
        <v>20</v>
      </c>
      <c r="X22" s="128" t="s">
        <v>1019</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25">
      <c r="B23" s="483"/>
      <c r="C23" s="129" t="s">
        <v>1024</v>
      </c>
      <c r="D23" s="378">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77"/>
      <c r="X23" s="129" t="s">
        <v>1024</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25">
      <c r="B24" s="483"/>
      <c r="C24" s="129" t="s">
        <v>1025</v>
      </c>
      <c r="D24" s="378">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77"/>
      <c r="X24" s="129" t="s">
        <v>1025</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25">
      <c r="B25" s="483"/>
      <c r="C25" s="129" t="s">
        <v>1026</v>
      </c>
      <c r="D25" s="378">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77"/>
      <c r="X25" s="129" t="s">
        <v>1026</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25">
      <c r="B26" s="484"/>
      <c r="C26" s="130" t="s">
        <v>1370</v>
      </c>
      <c r="D26" s="378">
        <f>SUMIFS('caseload data'!E:E,'caseload data'!$D:$D,"DMY",'caseload data'!$A:$A,"Kent Surrey Sussex Region")</f>
        <v>0</v>
      </c>
      <c r="E26" s="378">
        <f>SUMIFS('caseload data'!F:F,'caseload data'!$D:$D,"DMY",'caseload data'!$A:$A,"Kent Surrey Sussex Region")</f>
        <v>0</v>
      </c>
      <c r="F26" s="378">
        <f>SUMIFS('caseload data'!G:G,'caseload data'!$D:$D,"DMY",'caseload data'!$A:$A,"Kent Surrey Sussex Region")</f>
        <v>0</v>
      </c>
      <c r="G26" s="378">
        <f>SUMIFS('caseload data'!H:H,'caseload data'!$D:$D,"DMY",'caseload data'!$A:$A,"Kent Surrey Sussex Region")</f>
        <v>0</v>
      </c>
      <c r="H26" s="378">
        <f>SUMIFS('caseload data'!I:I,'caseload data'!$D:$D,"DMY",'caseload data'!$A:$A,"Kent Surrey Sussex Region")</f>
        <v>0</v>
      </c>
      <c r="I26" s="378">
        <f>SUMIFS('caseload data'!J:J,'caseload data'!$D:$D,"DMY",'caseload data'!$A:$A,"Kent Surrey Sussex Region")</f>
        <v>0</v>
      </c>
      <c r="J26" s="378">
        <f>SUMIFS('caseload data'!K:K,'caseload data'!$D:$D,"DMY",'caseload data'!$A:$A,"Kent Surrey Sussex Region")</f>
        <v>0</v>
      </c>
      <c r="K26" s="378">
        <f>SUMIFS('caseload data'!L:L,'caseload data'!$D:$D,"DMY",'caseload data'!$A:$A,"Kent Surrey Sussex Region")</f>
        <v>0</v>
      </c>
      <c r="L26" s="378">
        <f>SUMIFS('caseload data'!M:M,'caseload data'!$D:$D,"DMY",'caseload data'!$A:$A,"Kent Surrey Sussex Region")</f>
        <v>0</v>
      </c>
      <c r="M26" s="378">
        <f>SUMIFS('caseload data'!N:N,'caseload data'!$D:$D,"DMY",'caseload data'!$A:$A,"Kent Surrey Sussex Region")</f>
        <v>0</v>
      </c>
      <c r="N26" s="378">
        <f>SUMIFS('caseload data'!O:O,'caseload data'!$D:$D,"DMY",'caseload data'!$A:$A,"Kent Surrey Sussex Region")</f>
        <v>0</v>
      </c>
      <c r="O26" s="378">
        <f>SUMIFS('caseload data'!P:P,'caseload data'!$D:$D,"DMY",'caseload data'!$A:$A,"Kent Surrey Sussex Region")</f>
        <v>0</v>
      </c>
      <c r="P26" s="378">
        <f>SUMIFS('caseload data'!Q:Q,'caseload data'!$D:$D,"DMY",'caseload data'!$A:$A,"Kent Surrey Sussex Region")</f>
        <v>0</v>
      </c>
      <c r="Q26" s="378">
        <f>SUMIFS('caseload data'!R:R,'caseload data'!$D:$D,"DMY",'caseload data'!$A:$A,"Kent Surrey Sussex Region")</f>
        <v>0</v>
      </c>
      <c r="R26" s="378">
        <f>SUMIFS('caseload data'!S:S,'caseload data'!$D:$D,"DMY",'caseload data'!$A:$A,"Kent Surrey Sussex Region")</f>
        <v>0</v>
      </c>
      <c r="S26" s="378">
        <f>SUMIFS('caseload data'!T:T,'caseload data'!$D:$D,"DMY",'caseload data'!$A:$A,"Kent Surrey Sussex Region")</f>
        <v>0</v>
      </c>
      <c r="T26" s="94">
        <f>SUMIFS('caseload data'!V:V,'caseload data'!$D:$D,"DMY",'caseload data'!$A:$A,"Kent Surrey Sussex Region")</f>
        <v>0</v>
      </c>
      <c r="U26" s="64"/>
      <c r="V26" s="64"/>
      <c r="W26" s="478"/>
      <c r="X26" s="130" t="s">
        <v>1370</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25">
      <c r="B27" s="482" t="s">
        <v>21</v>
      </c>
      <c r="C27" s="128" t="s">
        <v>1019</v>
      </c>
      <c r="D27" s="378">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76" t="s">
        <v>21</v>
      </c>
      <c r="X27" s="128" t="s">
        <v>1019</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25">
      <c r="B28" s="483"/>
      <c r="C28" s="129" t="s">
        <v>1024</v>
      </c>
      <c r="D28" s="378">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77"/>
      <c r="X28" s="129" t="s">
        <v>1024</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25">
      <c r="B29" s="483"/>
      <c r="C29" s="129" t="s">
        <v>1025</v>
      </c>
      <c r="D29" s="378">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77"/>
      <c r="X29" s="129" t="s">
        <v>1025</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25">
      <c r="B30" s="483"/>
      <c r="C30" s="129" t="s">
        <v>1026</v>
      </c>
      <c r="D30" s="378">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77"/>
      <c r="X30" s="129" t="s">
        <v>1026</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25">
      <c r="B31" s="484"/>
      <c r="C31" s="130" t="s">
        <v>1370</v>
      </c>
      <c r="D31" s="378">
        <f>SUMIFS('caseload data'!E:E,'caseload data'!$D:$D,"DMY",'caseload data'!$A:$A,"London")</f>
        <v>0</v>
      </c>
      <c r="E31" s="378">
        <f>SUMIFS('caseload data'!F:F,'caseload data'!$D:$D,"DMY",'caseload data'!$A:$A,"London")</f>
        <v>0</v>
      </c>
      <c r="F31" s="378">
        <f>SUMIFS('caseload data'!G:G,'caseload data'!$D:$D,"DMY",'caseload data'!$A:$A,"London")</f>
        <v>0</v>
      </c>
      <c r="G31" s="378">
        <f>SUMIFS('caseload data'!H:H,'caseload data'!$D:$D,"DMY",'caseload data'!$A:$A,"London")</f>
        <v>0</v>
      </c>
      <c r="H31" s="378">
        <f>SUMIFS('caseload data'!I:I,'caseload data'!$D:$D,"DMY",'caseload data'!$A:$A,"London")</f>
        <v>0</v>
      </c>
      <c r="I31" s="378">
        <f>SUMIFS('caseload data'!J:J,'caseload data'!$D:$D,"DMY",'caseload data'!$A:$A,"London")</f>
        <v>0</v>
      </c>
      <c r="J31" s="378">
        <f>SUMIFS('caseload data'!K:K,'caseload data'!$D:$D,"DMY",'caseload data'!$A:$A,"London")</f>
        <v>0</v>
      </c>
      <c r="K31" s="378">
        <f>SUMIFS('caseload data'!L:L,'caseload data'!$D:$D,"DMY",'caseload data'!$A:$A,"London")</f>
        <v>0</v>
      </c>
      <c r="L31" s="378">
        <f>SUMIFS('caseload data'!M:M,'caseload data'!$D:$D,"DMY",'caseload data'!$A:$A,"London")</f>
        <v>0</v>
      </c>
      <c r="M31" s="378">
        <f>SUMIFS('caseload data'!N:N,'caseload data'!$D:$D,"DMY",'caseload data'!$A:$A,"London")</f>
        <v>0</v>
      </c>
      <c r="N31" s="378">
        <f>SUMIFS('caseload data'!O:O,'caseload data'!$D:$D,"DMY",'caseload data'!$A:$A,"London")</f>
        <v>0</v>
      </c>
      <c r="O31" s="378">
        <f>SUMIFS('caseload data'!P:P,'caseload data'!$D:$D,"DMY",'caseload data'!$A:$A,"London")</f>
        <v>0</v>
      </c>
      <c r="P31" s="378">
        <f>SUMIFS('caseload data'!Q:Q,'caseload data'!$D:$D,"DMY",'caseload data'!$A:$A,"London")</f>
        <v>0</v>
      </c>
      <c r="Q31" s="378">
        <f>SUMIFS('caseload data'!R:R,'caseload data'!$D:$D,"DMY",'caseload data'!$A:$A,"London")</f>
        <v>0</v>
      </c>
      <c r="R31" s="378">
        <f>SUMIFS('caseload data'!S:S,'caseload data'!$D:$D,"DMY",'caseload data'!$A:$A,"London")</f>
        <v>0</v>
      </c>
      <c r="S31" s="378">
        <f>SUMIFS('caseload data'!T:T,'caseload data'!$D:$D,"DMY",'caseload data'!$A:$A,"London")</f>
        <v>0</v>
      </c>
      <c r="T31" s="94">
        <f>SUMIFS('caseload data'!V:V,'caseload data'!$D:$D,"DMY",'caseload data'!$A:$A,"London")</f>
        <v>0</v>
      </c>
      <c r="U31" s="64"/>
      <c r="V31" s="64"/>
      <c r="W31" s="478"/>
      <c r="X31" s="130" t="s">
        <v>1370</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25">
      <c r="B32" s="482" t="s">
        <v>22</v>
      </c>
      <c r="C32" s="128" t="s">
        <v>1019</v>
      </c>
      <c r="D32" s="378">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76" t="s">
        <v>22</v>
      </c>
      <c r="X32" s="128" t="s">
        <v>1019</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25">
      <c r="B33" s="483"/>
      <c r="C33" s="129" t="s">
        <v>1024</v>
      </c>
      <c r="D33" s="378">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77"/>
      <c r="X33" s="129" t="s">
        <v>1024</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25">
      <c r="B34" s="483"/>
      <c r="C34" s="129" t="s">
        <v>1025</v>
      </c>
      <c r="D34" s="378">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77"/>
      <c r="X34" s="129" t="s">
        <v>1025</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25">
      <c r="B35" s="483"/>
      <c r="C35" s="129" t="s">
        <v>1026</v>
      </c>
      <c r="D35" s="378">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77"/>
      <c r="X35" s="129" t="s">
        <v>1026</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25">
      <c r="B36" s="484"/>
      <c r="C36" s="130" t="s">
        <v>1370</v>
      </c>
      <c r="D36" s="378">
        <f>SUMIFS('caseload data'!E:E,'caseload data'!$D:$D,"DMY",'caseload data'!$A:$A,"North East Region")</f>
        <v>0</v>
      </c>
      <c r="E36" s="378">
        <f>SUMIFS('caseload data'!F:F,'caseload data'!$D:$D,"DMY",'caseload data'!$A:$A,"North East Region")</f>
        <v>0</v>
      </c>
      <c r="F36" s="378">
        <f>SUMIFS('caseload data'!G:G,'caseload data'!$D:$D,"DMY",'caseload data'!$A:$A,"North East Region")</f>
        <v>0</v>
      </c>
      <c r="G36" s="378">
        <f>SUMIFS('caseload data'!H:H,'caseload data'!$D:$D,"DMY",'caseload data'!$A:$A,"North East Region")</f>
        <v>0</v>
      </c>
      <c r="H36" s="378">
        <f>SUMIFS('caseload data'!I:I,'caseload data'!$D:$D,"DMY",'caseload data'!$A:$A,"North East Region")</f>
        <v>0</v>
      </c>
      <c r="I36" s="378">
        <f>SUMIFS('caseload data'!J:J,'caseload data'!$D:$D,"DMY",'caseload data'!$A:$A,"North East Region")</f>
        <v>0</v>
      </c>
      <c r="J36" s="378">
        <f>SUMIFS('caseload data'!K:K,'caseload data'!$D:$D,"DMY",'caseload data'!$A:$A,"North East Region")</f>
        <v>0</v>
      </c>
      <c r="K36" s="378">
        <f>SUMIFS('caseload data'!L:L,'caseload data'!$D:$D,"DMY",'caseload data'!$A:$A,"North East Region")</f>
        <v>0</v>
      </c>
      <c r="L36" s="378">
        <f>SUMIFS('caseload data'!M:M,'caseload data'!$D:$D,"DMY",'caseload data'!$A:$A,"North East Region")</f>
        <v>0</v>
      </c>
      <c r="M36" s="378">
        <f>SUMIFS('caseload data'!N:N,'caseload data'!$D:$D,"DMY",'caseload data'!$A:$A,"North East Region")</f>
        <v>0</v>
      </c>
      <c r="N36" s="378">
        <f>SUMIFS('caseload data'!O:O,'caseload data'!$D:$D,"DMY",'caseload data'!$A:$A,"North East Region")</f>
        <v>0</v>
      </c>
      <c r="O36" s="378">
        <f>SUMIFS('caseload data'!P:P,'caseload data'!$D:$D,"DMY",'caseload data'!$A:$A,"North East Region")</f>
        <v>0</v>
      </c>
      <c r="P36" s="378">
        <f>SUMIFS('caseload data'!Q:Q,'caseload data'!$D:$D,"DMY",'caseload data'!$A:$A,"North East Region")</f>
        <v>0</v>
      </c>
      <c r="Q36" s="378">
        <f>SUMIFS('caseload data'!R:R,'caseload data'!$D:$D,"DMY",'caseload data'!$A:$A,"North East Region")</f>
        <v>0</v>
      </c>
      <c r="R36" s="378">
        <f>SUMIFS('caseload data'!S:S,'caseload data'!$D:$D,"DMY",'caseload data'!$A:$A,"North East Region")</f>
        <v>0</v>
      </c>
      <c r="S36" s="378">
        <f>SUMIFS('caseload data'!T:T,'caseload data'!$D:$D,"DMY",'caseload data'!$A:$A,"North East Region")</f>
        <v>0</v>
      </c>
      <c r="T36" s="94">
        <f>SUMIFS('caseload data'!V:V,'caseload data'!$D:$D,"DMY",'caseload data'!$A:$A,"North East Region")</f>
        <v>0</v>
      </c>
      <c r="U36" s="64"/>
      <c r="V36" s="64"/>
      <c r="W36" s="478"/>
      <c r="X36" s="130" t="s">
        <v>1370</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25">
      <c r="B37" s="476" t="s">
        <v>23</v>
      </c>
      <c r="C37" s="128" t="s">
        <v>1019</v>
      </c>
      <c r="D37" s="378">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76" t="s">
        <v>23</v>
      </c>
      <c r="X37" s="128" t="s">
        <v>1019</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25">
      <c r="B38" s="477"/>
      <c r="C38" s="129" t="s">
        <v>1024</v>
      </c>
      <c r="D38" s="378">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77"/>
      <c r="X38" s="129" t="s">
        <v>1024</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25">
      <c r="B39" s="477"/>
      <c r="C39" s="129" t="s">
        <v>1025</v>
      </c>
      <c r="D39" s="378">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77"/>
      <c r="X39" s="129" t="s">
        <v>1025</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25">
      <c r="B40" s="477"/>
      <c r="C40" s="129" t="s">
        <v>1026</v>
      </c>
      <c r="D40" s="378">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77"/>
      <c r="X40" s="129" t="s">
        <v>1026</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25">
      <c r="B41" s="478"/>
      <c r="C41" s="130" t="s">
        <v>1370</v>
      </c>
      <c r="D41" s="378">
        <f>SUMIFS('caseload data'!E:E,'caseload data'!$D:$D,"DMY",'caseload data'!$A:$A,"North West Region")</f>
        <v>0</v>
      </c>
      <c r="E41" s="378">
        <f>SUMIFS('caseload data'!F:F,'caseload data'!$D:$D,"DMY",'caseload data'!$A:$A,"North West Region")</f>
        <v>0</v>
      </c>
      <c r="F41" s="378">
        <f>SUMIFS('caseload data'!G:G,'caseload data'!$D:$D,"DMY",'caseload data'!$A:$A,"North West Region")</f>
        <v>0</v>
      </c>
      <c r="G41" s="378">
        <f>SUMIFS('caseload data'!H:H,'caseload data'!$D:$D,"DMY",'caseload data'!$A:$A,"North West Region")</f>
        <v>0</v>
      </c>
      <c r="H41" s="378">
        <f>SUMIFS('caseload data'!I:I,'caseload data'!$D:$D,"DMY",'caseload data'!$A:$A,"North West Region")</f>
        <v>0</v>
      </c>
      <c r="I41" s="378">
        <f>SUMIFS('caseload data'!J:J,'caseload data'!$D:$D,"DMY",'caseload data'!$A:$A,"North West Region")</f>
        <v>0</v>
      </c>
      <c r="J41" s="378">
        <f>SUMIFS('caseload data'!K:K,'caseload data'!$D:$D,"DMY",'caseload data'!$A:$A,"North West Region")</f>
        <v>0</v>
      </c>
      <c r="K41" s="378">
        <f>SUMIFS('caseload data'!L:L,'caseload data'!$D:$D,"DMY",'caseload data'!$A:$A,"North West Region")</f>
        <v>0</v>
      </c>
      <c r="L41" s="378">
        <f>SUMIFS('caseload data'!M:M,'caseload data'!$D:$D,"DMY",'caseload data'!$A:$A,"North West Region")</f>
        <v>0</v>
      </c>
      <c r="M41" s="378">
        <f>SUMIFS('caseload data'!N:N,'caseload data'!$D:$D,"DMY",'caseload data'!$A:$A,"North West Region")</f>
        <v>0</v>
      </c>
      <c r="N41" s="378">
        <f>SUMIFS('caseload data'!O:O,'caseload data'!$D:$D,"DMY",'caseload data'!$A:$A,"North West Region")</f>
        <v>0</v>
      </c>
      <c r="O41" s="378">
        <f>SUMIFS('caseload data'!P:P,'caseload data'!$D:$D,"DMY",'caseload data'!$A:$A,"North West Region")</f>
        <v>0</v>
      </c>
      <c r="P41" s="378">
        <f>SUMIFS('caseload data'!Q:Q,'caseload data'!$D:$D,"DMY",'caseload data'!$A:$A,"North West Region")</f>
        <v>0</v>
      </c>
      <c r="Q41" s="378">
        <f>SUMIFS('caseload data'!R:R,'caseload data'!$D:$D,"DMY",'caseload data'!$A:$A,"North West Region")</f>
        <v>0</v>
      </c>
      <c r="R41" s="378">
        <f>SUMIFS('caseload data'!S:S,'caseload data'!$D:$D,"DMY",'caseload data'!$A:$A,"North West Region")</f>
        <v>0</v>
      </c>
      <c r="S41" s="378">
        <f>SUMIFS('caseload data'!T:T,'caseload data'!$D:$D,"DMY",'caseload data'!$A:$A,"North West Region")</f>
        <v>0</v>
      </c>
      <c r="T41" s="94">
        <f>SUMIFS('caseload data'!V:V,'caseload data'!$D:$D,"DMY",'caseload data'!$A:$A,"North West Region")</f>
        <v>0</v>
      </c>
      <c r="U41" s="64"/>
      <c r="V41" s="64"/>
      <c r="W41" s="478"/>
      <c r="X41" s="130" t="s">
        <v>1370</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25">
      <c r="B42" s="482" t="s">
        <v>24</v>
      </c>
      <c r="C42" s="128" t="s">
        <v>1019</v>
      </c>
      <c r="D42" s="378">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76" t="s">
        <v>24</v>
      </c>
      <c r="X42" s="128" t="s">
        <v>1019</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25">
      <c r="B43" s="483"/>
      <c r="C43" s="129" t="s">
        <v>1024</v>
      </c>
      <c r="D43" s="378">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77"/>
      <c r="X43" s="129" t="s">
        <v>1024</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25">
      <c r="B44" s="483"/>
      <c r="C44" s="129" t="s">
        <v>1025</v>
      </c>
      <c r="D44" s="378">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77"/>
      <c r="X44" s="129" t="s">
        <v>1025</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25">
      <c r="B45" s="483"/>
      <c r="C45" s="129" t="s">
        <v>1026</v>
      </c>
      <c r="D45" s="378">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77"/>
      <c r="X45" s="129" t="s">
        <v>1026</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25">
      <c r="B46" s="484"/>
      <c r="C46" s="130" t="s">
        <v>1370</v>
      </c>
      <c r="D46" s="378">
        <f>SUMIFS('caseload data'!E:E,'caseload data'!$D:$D,"DMY",'caseload data'!$A:$A,"South Central")</f>
        <v>0</v>
      </c>
      <c r="E46" s="378">
        <f>SUMIFS('caseload data'!F:F,'caseload data'!$D:$D,"DMY",'caseload data'!$A:$A,"South Central")</f>
        <v>0</v>
      </c>
      <c r="F46" s="378">
        <f>SUMIFS('caseload data'!G:G,'caseload data'!$D:$D,"DMY",'caseload data'!$A:$A,"South Central")</f>
        <v>0</v>
      </c>
      <c r="G46" s="378">
        <f>SUMIFS('caseload data'!H:H,'caseload data'!$D:$D,"DMY",'caseload data'!$A:$A,"South Central")</f>
        <v>0</v>
      </c>
      <c r="H46" s="378">
        <f>SUMIFS('caseload data'!I:I,'caseload data'!$D:$D,"DMY",'caseload data'!$A:$A,"South Central")</f>
        <v>0</v>
      </c>
      <c r="I46" s="378">
        <f>SUMIFS('caseload data'!J:J,'caseload data'!$D:$D,"DMY",'caseload data'!$A:$A,"South Central")</f>
        <v>0</v>
      </c>
      <c r="J46" s="378">
        <f>SUMIFS('caseload data'!K:K,'caseload data'!$D:$D,"DMY",'caseload data'!$A:$A,"South Central")</f>
        <v>0</v>
      </c>
      <c r="K46" s="378">
        <f>SUMIFS('caseload data'!L:L,'caseload data'!$D:$D,"DMY",'caseload data'!$A:$A,"South Central")</f>
        <v>0</v>
      </c>
      <c r="L46" s="378">
        <f>SUMIFS('caseload data'!M:M,'caseload data'!$D:$D,"DMY",'caseload data'!$A:$A,"South Central")</f>
        <v>0</v>
      </c>
      <c r="M46" s="378">
        <f>SUMIFS('caseload data'!N:N,'caseload data'!$D:$D,"DMY",'caseload data'!$A:$A,"South Central")</f>
        <v>0</v>
      </c>
      <c r="N46" s="378">
        <f>SUMIFS('caseload data'!O:O,'caseload data'!$D:$D,"DMY",'caseload data'!$A:$A,"South Central")</f>
        <v>0</v>
      </c>
      <c r="O46" s="378">
        <f>SUMIFS('caseload data'!P:P,'caseload data'!$D:$D,"DMY",'caseload data'!$A:$A,"South Central")</f>
        <v>0</v>
      </c>
      <c r="P46" s="378">
        <f>SUMIFS('caseload data'!Q:Q,'caseload data'!$D:$D,"DMY",'caseload data'!$A:$A,"South Central")</f>
        <v>0</v>
      </c>
      <c r="Q46" s="378">
        <f>SUMIFS('caseload data'!R:R,'caseload data'!$D:$D,"DMY",'caseload data'!$A:$A,"South Central")</f>
        <v>0</v>
      </c>
      <c r="R46" s="378">
        <f>SUMIFS('caseload data'!S:S,'caseload data'!$D:$D,"DMY",'caseload data'!$A:$A,"South Central")</f>
        <v>0</v>
      </c>
      <c r="S46" s="378">
        <f>SUMIFS('caseload data'!T:T,'caseload data'!$D:$D,"DMY",'caseload data'!$A:$A,"South Central")</f>
        <v>0</v>
      </c>
      <c r="T46" s="94">
        <f>SUMIFS('caseload data'!V:V,'caseload data'!$D:$D,"DMY",'caseload data'!$A:$A,"South Central")</f>
        <v>0</v>
      </c>
      <c r="U46" s="64"/>
      <c r="V46" s="64"/>
      <c r="W46" s="478"/>
      <c r="X46" s="130" t="s">
        <v>1370</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25">
      <c r="B47" s="482" t="s">
        <v>25</v>
      </c>
      <c r="C47" s="128" t="s">
        <v>1019</v>
      </c>
      <c r="D47" s="378">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76" t="s">
        <v>25</v>
      </c>
      <c r="X47" s="128" t="s">
        <v>1019</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25">
      <c r="B48" s="483"/>
      <c r="C48" s="129" t="s">
        <v>1024</v>
      </c>
      <c r="D48" s="378">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77"/>
      <c r="X48" s="129" t="s">
        <v>1024</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25">
      <c r="B49" s="483"/>
      <c r="C49" s="129" t="s">
        <v>1025</v>
      </c>
      <c r="D49" s="378">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77"/>
      <c r="X49" s="129" t="s">
        <v>1025</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25">
      <c r="B50" s="483"/>
      <c r="C50" s="129" t="s">
        <v>1026</v>
      </c>
      <c r="D50" s="378">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77"/>
      <c r="X50" s="129" t="s">
        <v>1026</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25">
      <c r="B51" s="484"/>
      <c r="C51" s="130" t="s">
        <v>1370</v>
      </c>
      <c r="D51" s="378">
        <f>SUMIFS('caseload data'!E:E,'caseload data'!$D:$D,"DMY",'caseload data'!$A:$A,"South West")</f>
        <v>0</v>
      </c>
      <c r="E51" s="378">
        <f>SUMIFS('caseload data'!F:F,'caseload data'!$D:$D,"DMY",'caseload data'!$A:$A,"South West")</f>
        <v>0</v>
      </c>
      <c r="F51" s="378">
        <f>SUMIFS('caseload data'!G:G,'caseload data'!$D:$D,"DMY",'caseload data'!$A:$A,"South West")</f>
        <v>0</v>
      </c>
      <c r="G51" s="378">
        <f>SUMIFS('caseload data'!H:H,'caseload data'!$D:$D,"DMY",'caseload data'!$A:$A,"South West")</f>
        <v>0</v>
      </c>
      <c r="H51" s="378">
        <f>SUMIFS('caseload data'!I:I,'caseload data'!$D:$D,"DMY",'caseload data'!$A:$A,"South West")</f>
        <v>0</v>
      </c>
      <c r="I51" s="378">
        <f>SUMIFS('caseload data'!J:J,'caseload data'!$D:$D,"DMY",'caseload data'!$A:$A,"South West")</f>
        <v>0</v>
      </c>
      <c r="J51" s="378">
        <f>SUMIFS('caseload data'!K:K,'caseload data'!$D:$D,"DMY",'caseload data'!$A:$A,"South West")</f>
        <v>0</v>
      </c>
      <c r="K51" s="378">
        <f>SUMIFS('caseload data'!L:L,'caseload data'!$D:$D,"DMY",'caseload data'!$A:$A,"South West")</f>
        <v>0</v>
      </c>
      <c r="L51" s="378">
        <f>SUMIFS('caseload data'!M:M,'caseload data'!$D:$D,"DMY",'caseload data'!$A:$A,"South West")</f>
        <v>0</v>
      </c>
      <c r="M51" s="378">
        <f>SUMIFS('caseload data'!N:N,'caseload data'!$D:$D,"DMY",'caseload data'!$A:$A,"South West")</f>
        <v>0</v>
      </c>
      <c r="N51" s="378">
        <f>SUMIFS('caseload data'!O:O,'caseload data'!$D:$D,"DMY",'caseload data'!$A:$A,"South West")</f>
        <v>0</v>
      </c>
      <c r="O51" s="378">
        <f>SUMIFS('caseload data'!P:P,'caseload data'!$D:$D,"DMY",'caseload data'!$A:$A,"South West")</f>
        <v>0</v>
      </c>
      <c r="P51" s="378">
        <f>SUMIFS('caseload data'!Q:Q,'caseload data'!$D:$D,"DMY",'caseload data'!$A:$A,"South West")</f>
        <v>0</v>
      </c>
      <c r="Q51" s="378">
        <f>SUMIFS('caseload data'!R:R,'caseload data'!$D:$D,"DMY",'caseload data'!$A:$A,"South West")</f>
        <v>0</v>
      </c>
      <c r="R51" s="378">
        <f>SUMIFS('caseload data'!S:S,'caseload data'!$D:$D,"DMY",'caseload data'!$A:$A,"South West")</f>
        <v>0</v>
      </c>
      <c r="S51" s="378">
        <f>SUMIFS('caseload data'!T:T,'caseload data'!$D:$D,"DMY",'caseload data'!$A:$A,"South West")</f>
        <v>0</v>
      </c>
      <c r="T51" s="94">
        <f>SUMIFS('caseload data'!V:V,'caseload data'!$D:$D,"DMY",'caseload data'!$A:$A,"South West")</f>
        <v>0</v>
      </c>
      <c r="U51" s="64"/>
      <c r="V51" s="64"/>
      <c r="W51" s="478"/>
      <c r="X51" s="130" t="s">
        <v>1370</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25">
      <c r="B52" s="482" t="s">
        <v>26</v>
      </c>
      <c r="C52" s="128" t="s">
        <v>1019</v>
      </c>
      <c r="D52" s="378">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76" t="s">
        <v>26</v>
      </c>
      <c r="X52" s="128" t="s">
        <v>1019</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25">
      <c r="B53" s="483"/>
      <c r="C53" s="129" t="s">
        <v>1024</v>
      </c>
      <c r="D53" s="378">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77"/>
      <c r="X53" s="129" t="s">
        <v>1024</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25">
      <c r="B54" s="483"/>
      <c r="C54" s="129" t="s">
        <v>1025</v>
      </c>
      <c r="D54" s="378">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77"/>
      <c r="X54" s="129" t="s">
        <v>1025</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25">
      <c r="B55" s="483"/>
      <c r="C55" s="129" t="s">
        <v>1026</v>
      </c>
      <c r="D55" s="378">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77"/>
      <c r="X55" s="129" t="s">
        <v>1026</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25">
      <c r="B56" s="484"/>
      <c r="C56" s="129" t="s">
        <v>1370</v>
      </c>
      <c r="D56" s="378">
        <f>SUMIFS('caseload data'!E:E,'caseload data'!$D:$D,"DMY",'caseload data'!$A:$A,"Wales")</f>
        <v>0</v>
      </c>
      <c r="E56" s="378">
        <f>SUMIFS('caseload data'!F:F,'caseload data'!$D:$D,"DMY",'caseload data'!$A:$A,"Wales")</f>
        <v>0</v>
      </c>
      <c r="F56" s="378">
        <f>SUMIFS('caseload data'!G:G,'caseload data'!$D:$D,"DMY",'caseload data'!$A:$A,"Wales")</f>
        <v>0</v>
      </c>
      <c r="G56" s="378">
        <f>SUMIFS('caseload data'!H:H,'caseload data'!$D:$D,"DMY",'caseload data'!$A:$A,"Wales")</f>
        <v>0</v>
      </c>
      <c r="H56" s="378">
        <f>SUMIFS('caseload data'!I:I,'caseload data'!$D:$D,"DMY",'caseload data'!$A:$A,"Wales")</f>
        <v>0</v>
      </c>
      <c r="I56" s="378">
        <f>SUMIFS('caseload data'!J:J,'caseload data'!$D:$D,"DMY",'caseload data'!$A:$A,"Wales")</f>
        <v>0</v>
      </c>
      <c r="J56" s="378">
        <f>SUMIFS('caseload data'!K:K,'caseload data'!$D:$D,"DMY",'caseload data'!$A:$A,"Wales")</f>
        <v>0</v>
      </c>
      <c r="K56" s="378">
        <f>SUMIFS('caseload data'!L:L,'caseload data'!$D:$D,"DMY",'caseload data'!$A:$A,"Wales")</f>
        <v>0</v>
      </c>
      <c r="L56" s="378">
        <f>SUMIFS('caseload data'!M:M,'caseload data'!$D:$D,"DMY",'caseload data'!$A:$A,"Wales")</f>
        <v>0</v>
      </c>
      <c r="M56" s="378">
        <f>SUMIFS('caseload data'!N:N,'caseload data'!$D:$D,"DMY",'caseload data'!$A:$A,"Wales")</f>
        <v>0</v>
      </c>
      <c r="N56" s="378">
        <f>SUMIFS('caseload data'!O:O,'caseload data'!$D:$D,"DMY",'caseload data'!$A:$A,"Wales")</f>
        <v>0</v>
      </c>
      <c r="O56" s="378">
        <f>SUMIFS('caseload data'!P:P,'caseload data'!$D:$D,"DMY",'caseload data'!$A:$A,"Wales")</f>
        <v>0</v>
      </c>
      <c r="P56" s="378">
        <f>SUMIFS('caseload data'!Q:Q,'caseload data'!$D:$D,"DMY",'caseload data'!$A:$A,"Wales")</f>
        <v>0</v>
      </c>
      <c r="Q56" s="378">
        <f>SUMIFS('caseload data'!R:R,'caseload data'!$D:$D,"DMY",'caseload data'!$A:$A,"Wales")</f>
        <v>0</v>
      </c>
      <c r="R56" s="378">
        <f>SUMIFS('caseload data'!S:S,'caseload data'!$D:$D,"DMY",'caseload data'!$A:$A,"Wales")</f>
        <v>0</v>
      </c>
      <c r="S56" s="378">
        <f>SUMIFS('caseload data'!T:T,'caseload data'!$D:$D,"DMY",'caseload data'!$A:$A,"Wales")</f>
        <v>0</v>
      </c>
      <c r="T56" s="94">
        <f>SUMIFS('caseload data'!V:V,'caseload data'!$D:$D,"DMY",'caseload data'!$A:$A,"Wales")</f>
        <v>0</v>
      </c>
      <c r="U56" s="64"/>
      <c r="V56" s="64"/>
      <c r="W56" s="478"/>
      <c r="X56" s="130" t="s">
        <v>1370</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25">
      <c r="B57" s="482" t="s">
        <v>27</v>
      </c>
      <c r="C57" s="128" t="s">
        <v>1019</v>
      </c>
      <c r="D57" s="378">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76" t="s">
        <v>27</v>
      </c>
      <c r="X57" s="128" t="s">
        <v>1019</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25">
      <c r="B58" s="483"/>
      <c r="C58" s="129" t="s">
        <v>1024</v>
      </c>
      <c r="D58" s="378">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77"/>
      <c r="X58" s="129" t="s">
        <v>1024</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25">
      <c r="B59" s="483"/>
      <c r="C59" s="129" t="s">
        <v>1025</v>
      </c>
      <c r="D59" s="378">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77"/>
      <c r="X59" s="129" t="s">
        <v>1025</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25">
      <c r="B60" s="483"/>
      <c r="C60" s="129" t="s">
        <v>1026</v>
      </c>
      <c r="D60" s="378">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77"/>
      <c r="X60" s="129" t="s">
        <v>1026</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25">
      <c r="B61" s="484"/>
      <c r="C61" s="130" t="s">
        <v>1370</v>
      </c>
      <c r="D61" s="378">
        <f>SUMIFS('caseload data'!E:E,'caseload data'!$D:$D,"DMY",'caseload data'!$A:$A,"West Midlands Region")</f>
        <v>0</v>
      </c>
      <c r="E61" s="378">
        <f>SUMIFS('caseload data'!F:F,'caseload data'!$D:$D,"DMY",'caseload data'!$A:$A,"West Midlands Region")</f>
        <v>0</v>
      </c>
      <c r="F61" s="378">
        <f>SUMIFS('caseload data'!G:G,'caseload data'!$D:$D,"DMY",'caseload data'!$A:$A,"West Midlands Region")</f>
        <v>0</v>
      </c>
      <c r="G61" s="378">
        <f>SUMIFS('caseload data'!H:H,'caseload data'!$D:$D,"DMY",'caseload data'!$A:$A,"West Midlands Region")</f>
        <v>0</v>
      </c>
      <c r="H61" s="378">
        <f>SUMIFS('caseload data'!I:I,'caseload data'!$D:$D,"DMY",'caseload data'!$A:$A,"West Midlands Region")</f>
        <v>0</v>
      </c>
      <c r="I61" s="378">
        <f>SUMIFS('caseload data'!J:J,'caseload data'!$D:$D,"DMY",'caseload data'!$A:$A,"West Midlands Region")</f>
        <v>0</v>
      </c>
      <c r="J61" s="378">
        <f>SUMIFS('caseload data'!K:K,'caseload data'!$D:$D,"DMY",'caseload data'!$A:$A,"West Midlands Region")</f>
        <v>0</v>
      </c>
      <c r="K61" s="378">
        <f>SUMIFS('caseload data'!L:L,'caseload data'!$D:$D,"DMY",'caseload data'!$A:$A,"West Midlands Region")</f>
        <v>0</v>
      </c>
      <c r="L61" s="378">
        <f>SUMIFS('caseload data'!M:M,'caseload data'!$D:$D,"DMY",'caseload data'!$A:$A,"West Midlands Region")</f>
        <v>0</v>
      </c>
      <c r="M61" s="378">
        <f>SUMIFS('caseload data'!N:N,'caseload data'!$D:$D,"DMY",'caseload data'!$A:$A,"West Midlands Region")</f>
        <v>0</v>
      </c>
      <c r="N61" s="378">
        <f>SUMIFS('caseload data'!O:O,'caseload data'!$D:$D,"DMY",'caseload data'!$A:$A,"West Midlands Region")</f>
        <v>0</v>
      </c>
      <c r="O61" s="378">
        <f>SUMIFS('caseload data'!P:P,'caseload data'!$D:$D,"DMY",'caseload data'!$A:$A,"West Midlands Region")</f>
        <v>0</v>
      </c>
      <c r="P61" s="378">
        <f>SUMIFS('caseload data'!Q:Q,'caseload data'!$D:$D,"DMY",'caseload data'!$A:$A,"West Midlands Region")</f>
        <v>0</v>
      </c>
      <c r="Q61" s="378">
        <f>SUMIFS('caseload data'!R:R,'caseload data'!$D:$D,"DMY",'caseload data'!$A:$A,"West Midlands Region")</f>
        <v>0</v>
      </c>
      <c r="R61" s="378">
        <f>SUMIFS('caseload data'!S:S,'caseload data'!$D:$D,"DMY",'caseload data'!$A:$A,"West Midlands Region")</f>
        <v>0</v>
      </c>
      <c r="S61" s="378">
        <f>SUMIFS('caseload data'!T:T,'caseload data'!$D:$D,"DMY",'caseload data'!$A:$A,"West Midlands Region")</f>
        <v>0</v>
      </c>
      <c r="T61" s="94">
        <f>SUMIFS('caseload data'!V:V,'caseload data'!$D:$D,"DMY",'caseload data'!$A:$A,"West Midlands Region")</f>
        <v>0</v>
      </c>
      <c r="U61" s="64"/>
      <c r="V61" s="64"/>
      <c r="W61" s="478"/>
      <c r="X61" s="130" t="s">
        <v>1370</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25">
      <c r="B62" s="476" t="s">
        <v>28</v>
      </c>
      <c r="C62" s="129" t="s">
        <v>1019</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82" t="s">
        <v>28</v>
      </c>
      <c r="X62" s="129" t="s">
        <v>1019</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25">
      <c r="B63" s="477"/>
      <c r="C63" s="129" t="s">
        <v>1024</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83"/>
      <c r="X63" s="129" t="s">
        <v>1024</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25">
      <c r="B64" s="477"/>
      <c r="C64" s="129" t="s">
        <v>1025</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83"/>
      <c r="X64" s="129" t="s">
        <v>1025</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25">
      <c r="B65" s="477"/>
      <c r="C65" s="129" t="s">
        <v>1026</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83"/>
      <c r="X65" s="129" t="s">
        <v>1026</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75" thickBot="1" x14ac:dyDescent="0.3">
      <c r="B66" s="477"/>
      <c r="C66" s="129" t="s">
        <v>1370</v>
      </c>
      <c r="D66" s="385">
        <f>SUMIFS('caseload data'!E:E,'caseload data'!$D:$D,"DMY",'caseload data'!$A:$A,"Yorkshire and The Humber")</f>
        <v>0</v>
      </c>
      <c r="E66" s="385">
        <f>SUMIFS('caseload data'!F:F,'caseload data'!$D:$D,"DMY",'caseload data'!$A:$A,"Yorkshire and The Humber")</f>
        <v>0</v>
      </c>
      <c r="F66" s="385">
        <f>SUMIFS('caseload data'!G:G,'caseload data'!$D:$D,"DMY",'caseload data'!$A:$A,"Yorkshire and The Humber")</f>
        <v>0</v>
      </c>
      <c r="G66" s="385">
        <f>SUMIFS('caseload data'!H:H,'caseload data'!$D:$D,"DMY",'caseload data'!$A:$A,"Yorkshire and The Humber")</f>
        <v>0</v>
      </c>
      <c r="H66" s="385">
        <f>SUMIFS('caseload data'!I:I,'caseload data'!$D:$D,"DMY",'caseload data'!$A:$A,"Yorkshire and The Humber")</f>
        <v>0</v>
      </c>
      <c r="I66" s="385">
        <f>SUMIFS('caseload data'!J:J,'caseload data'!$D:$D,"DMY",'caseload data'!$A:$A,"Yorkshire and The Humber")</f>
        <v>0</v>
      </c>
      <c r="J66" s="385">
        <f>SUMIFS('caseload data'!K:K,'caseload data'!$D:$D,"DMY",'caseload data'!$A:$A,"Yorkshire and The Humber")</f>
        <v>0</v>
      </c>
      <c r="K66" s="385">
        <f>SUMIFS('caseload data'!L:L,'caseload data'!$D:$D,"DMY",'caseload data'!$A:$A,"Yorkshire and The Humber")</f>
        <v>0</v>
      </c>
      <c r="L66" s="385">
        <f>SUMIFS('caseload data'!M:M,'caseload data'!$D:$D,"DMY",'caseload data'!$A:$A,"Yorkshire and The Humber")</f>
        <v>0</v>
      </c>
      <c r="M66" s="385">
        <f>SUMIFS('caseload data'!N:N,'caseload data'!$D:$D,"DMY",'caseload data'!$A:$A,"Yorkshire and The Humber")</f>
        <v>0</v>
      </c>
      <c r="N66" s="385">
        <f>SUMIFS('caseload data'!O:O,'caseload data'!$D:$D,"DMY",'caseload data'!$A:$A,"Yorkshire and The Humber")</f>
        <v>0</v>
      </c>
      <c r="O66" s="385">
        <f>SUMIFS('caseload data'!P:P,'caseload data'!$D:$D,"DMY",'caseload data'!$A:$A,"Yorkshire and The Humber")</f>
        <v>0</v>
      </c>
      <c r="P66" s="385">
        <f>SUMIFS('caseload data'!Q:Q,'caseload data'!$D:$D,"DMY",'caseload data'!$A:$A,"Yorkshire and The Humber")</f>
        <v>0</v>
      </c>
      <c r="Q66" s="385">
        <f>SUMIFS('caseload data'!R:R,'caseload data'!$D:$D,"DMY",'caseload data'!$A:$A,"Yorkshire and The Humber")</f>
        <v>0</v>
      </c>
      <c r="R66" s="385">
        <f>SUMIFS('caseload data'!S:S,'caseload data'!$D:$D,"DMY",'caseload data'!$A:$A,"Yorkshire and The Humber")</f>
        <v>0</v>
      </c>
      <c r="S66" s="385">
        <f>SUMIFS('caseload data'!T:T,'caseload data'!$D:$D,"DMY",'caseload data'!$A:$A,"Yorkshire and The Humber")</f>
        <v>0</v>
      </c>
      <c r="T66" s="385">
        <f>SUMIFS('caseload data'!V:V,'caseload data'!$D:$D,"DMY",'caseload data'!$A:$A,"Yorkshire and The Humber")</f>
        <v>0</v>
      </c>
      <c r="U66" s="64"/>
      <c r="V66" s="64"/>
      <c r="W66" s="483"/>
      <c r="X66" s="129" t="s">
        <v>1370</v>
      </c>
      <c r="Y66" s="381" t="e">
        <f t="shared" si="42"/>
        <v>#DIV/0!</v>
      </c>
      <c r="Z66" s="381" t="e">
        <f t="shared" si="41"/>
        <v>#DIV/0!</v>
      </c>
      <c r="AA66" s="381" t="e">
        <f t="shared" si="41"/>
        <v>#DIV/0!</v>
      </c>
      <c r="AB66" s="381" t="e">
        <f t="shared" si="41"/>
        <v>#DIV/0!</v>
      </c>
      <c r="AC66" s="381" t="e">
        <f t="shared" si="41"/>
        <v>#DIV/0!</v>
      </c>
      <c r="AD66" s="381" t="e">
        <f t="shared" si="41"/>
        <v>#DIV/0!</v>
      </c>
      <c r="AE66" s="381" t="e">
        <f t="shared" si="41"/>
        <v>#DIV/0!</v>
      </c>
      <c r="AF66" s="381" t="e">
        <f t="shared" si="41"/>
        <v>#DIV/0!</v>
      </c>
      <c r="AG66" s="381" t="e">
        <f t="shared" si="41"/>
        <v>#DIV/0!</v>
      </c>
      <c r="AH66" s="381" t="e">
        <f t="shared" si="41"/>
        <v>#DIV/0!</v>
      </c>
      <c r="AI66" s="381" t="e">
        <f t="shared" si="41"/>
        <v>#DIV/0!</v>
      </c>
      <c r="AJ66" s="381" t="e">
        <f t="shared" si="41"/>
        <v>#DIV/0!</v>
      </c>
      <c r="AK66" s="381" t="e">
        <f t="shared" si="41"/>
        <v>#DIV/0!</v>
      </c>
      <c r="AL66" s="381" t="e">
        <f t="shared" si="41"/>
        <v>#DIV/0!</v>
      </c>
      <c r="AM66" s="381" t="e">
        <f t="shared" si="41"/>
        <v>#DIV/0!</v>
      </c>
      <c r="AN66" s="381" t="e">
        <f t="shared" si="41"/>
        <v>#DIV/0!</v>
      </c>
      <c r="AO66" s="381" t="e">
        <f t="shared" si="41"/>
        <v>#DIV/0!</v>
      </c>
    </row>
    <row r="67" spans="2:41" x14ac:dyDescent="0.25">
      <c r="B67" s="479" t="s">
        <v>981</v>
      </c>
      <c r="C67" s="386" t="s">
        <v>1019</v>
      </c>
      <c r="D67" s="387">
        <f>SUMIF('caseload data'!$D:$D,"PO",'caseload data'!E:E)</f>
        <v>0</v>
      </c>
      <c r="E67" s="387">
        <f>SUMIF('caseload data'!$D:$D,"PO",'caseload data'!F:F)</f>
        <v>0</v>
      </c>
      <c r="F67" s="387">
        <f>SUMIF('caseload data'!$D:$D,"PO",'caseload data'!G:G)</f>
        <v>0</v>
      </c>
      <c r="G67" s="387">
        <f>SUMIF('caseload data'!$D:$D,"PO",'caseload data'!H:H)</f>
        <v>0</v>
      </c>
      <c r="H67" s="387">
        <f>SUMIF('caseload data'!$D:$D,"PO",'caseload data'!I:I)</f>
        <v>0</v>
      </c>
      <c r="I67" s="387">
        <f>SUMIF('caseload data'!$D:$D,"PO",'caseload data'!J:J)</f>
        <v>0</v>
      </c>
      <c r="J67" s="387">
        <f>SUMIF('caseload data'!$D:$D,"PO",'caseload data'!K:K)</f>
        <v>0</v>
      </c>
      <c r="K67" s="387">
        <f>SUMIF('caseload data'!$D:$D,"PO",'caseload data'!L:L)</f>
        <v>0</v>
      </c>
      <c r="L67" s="387">
        <f>SUMIF('caseload data'!$D:$D,"PO",'caseload data'!M:M)</f>
        <v>0</v>
      </c>
      <c r="M67" s="387">
        <f>SUMIF('caseload data'!$D:$D,"PO",'caseload data'!N:N)</f>
        <v>0</v>
      </c>
      <c r="N67" s="387">
        <f>SUMIF('caseload data'!$D:$D,"PO",'caseload data'!O:O)</f>
        <v>0</v>
      </c>
      <c r="O67" s="387">
        <f>SUMIF('caseload data'!$D:$D,"PO",'caseload data'!P:P)</f>
        <v>0</v>
      </c>
      <c r="P67" s="387">
        <f>SUMIF('caseload data'!$D:$D,"PO",'caseload data'!Q:Q)</f>
        <v>0</v>
      </c>
      <c r="Q67" s="387">
        <f>SUMIF('caseload data'!$D:$D,"PO",'caseload data'!R:R)</f>
        <v>0</v>
      </c>
      <c r="R67" s="387">
        <f>SUMIF('caseload data'!$D:$D,"PO",'caseload data'!S:S)</f>
        <v>0</v>
      </c>
      <c r="S67" s="387">
        <f>SUMIF('caseload data'!$D:$D,"PO",'caseload data'!T:T)</f>
        <v>0</v>
      </c>
      <c r="T67" s="388">
        <f>SUMIF('caseload data'!D:D,"PO",'caseload data'!V:V)</f>
        <v>0</v>
      </c>
      <c r="U67" s="64"/>
      <c r="V67" s="64"/>
      <c r="W67" s="479" t="s">
        <v>981</v>
      </c>
      <c r="X67" s="382" t="s">
        <v>1019</v>
      </c>
      <c r="Y67" s="399" t="e">
        <f>SUM(D67)/SUM(D$67:D$71)</f>
        <v>#DIV/0!</v>
      </c>
      <c r="Z67" s="399" t="e">
        <f t="shared" ref="Z67:AO71" si="43">SUM(E67)/SUM(E$67:E$71)</f>
        <v>#DIV/0!</v>
      </c>
      <c r="AA67" s="399" t="e">
        <f t="shared" si="43"/>
        <v>#DIV/0!</v>
      </c>
      <c r="AB67" s="399" t="e">
        <f t="shared" si="43"/>
        <v>#DIV/0!</v>
      </c>
      <c r="AC67" s="399" t="e">
        <f t="shared" si="43"/>
        <v>#DIV/0!</v>
      </c>
      <c r="AD67" s="399" t="e">
        <f t="shared" si="43"/>
        <v>#DIV/0!</v>
      </c>
      <c r="AE67" s="399" t="e">
        <f t="shared" si="43"/>
        <v>#DIV/0!</v>
      </c>
      <c r="AF67" s="399" t="e">
        <f t="shared" si="43"/>
        <v>#DIV/0!</v>
      </c>
      <c r="AG67" s="399" t="e">
        <f t="shared" si="43"/>
        <v>#DIV/0!</v>
      </c>
      <c r="AH67" s="399" t="e">
        <f t="shared" si="43"/>
        <v>#DIV/0!</v>
      </c>
      <c r="AI67" s="399" t="e">
        <f t="shared" si="43"/>
        <v>#DIV/0!</v>
      </c>
      <c r="AJ67" s="399" t="e">
        <f t="shared" si="43"/>
        <v>#DIV/0!</v>
      </c>
      <c r="AK67" s="399" t="e">
        <f t="shared" si="43"/>
        <v>#DIV/0!</v>
      </c>
      <c r="AL67" s="399" t="e">
        <f t="shared" si="43"/>
        <v>#DIV/0!</v>
      </c>
      <c r="AM67" s="399" t="e">
        <f t="shared" si="43"/>
        <v>#DIV/0!</v>
      </c>
      <c r="AN67" s="399" t="e">
        <f t="shared" si="43"/>
        <v>#DIV/0!</v>
      </c>
      <c r="AO67" s="394" t="e">
        <f t="shared" si="43"/>
        <v>#DIV/0!</v>
      </c>
    </row>
    <row r="68" spans="2:41" x14ac:dyDescent="0.25">
      <c r="B68" s="480"/>
      <c r="C68" s="137" t="s">
        <v>1024</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9">
        <f>SUMIF('caseload data'!D:D,"PSO",'caseload data'!V:V)</f>
        <v>0</v>
      </c>
      <c r="U68" s="64"/>
      <c r="V68" s="64"/>
      <c r="W68" s="480"/>
      <c r="X68" s="383" t="s">
        <v>1024</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5" t="e">
        <f t="shared" si="43"/>
        <v>#DIV/0!</v>
      </c>
    </row>
    <row r="69" spans="2:41" x14ac:dyDescent="0.25">
      <c r="B69" s="480"/>
      <c r="C69" s="137" t="s">
        <v>1025</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9">
        <f>SUMIF('caseload data'!D:D,"TPO",'caseload data'!V:V)</f>
        <v>0</v>
      </c>
      <c r="U69" s="64"/>
      <c r="V69" s="64"/>
      <c r="W69" s="480"/>
      <c r="X69" s="383" t="s">
        <v>1025</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5" t="e">
        <f t="shared" si="43"/>
        <v>#DIV/0!</v>
      </c>
    </row>
    <row r="70" spans="2:41" ht="15.6" customHeight="1" x14ac:dyDescent="0.25">
      <c r="B70" s="480"/>
      <c r="C70" s="137" t="s">
        <v>1026</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9">
        <f>SUMIF('caseload data'!D:D,"SPO",'caseload data'!V:V)</f>
        <v>0</v>
      </c>
      <c r="U70" s="64"/>
      <c r="V70" s="64"/>
      <c r="W70" s="480"/>
      <c r="X70" s="383" t="s">
        <v>1026</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5" t="e">
        <f t="shared" si="43"/>
        <v>#DIV/0!</v>
      </c>
    </row>
    <row r="71" spans="2:41" ht="15.6" customHeight="1" thickBot="1" x14ac:dyDescent="0.3">
      <c r="B71" s="480"/>
      <c r="C71" s="137" t="s">
        <v>1370</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9">
        <f>SUMIF('caseload data'!D:D,"DMY",'caseload data'!V:V)</f>
        <v>0</v>
      </c>
      <c r="U71" s="64"/>
      <c r="V71" s="64"/>
      <c r="W71" s="481"/>
      <c r="X71" s="384" t="s">
        <v>1370</v>
      </c>
      <c r="Y71" s="400" t="e">
        <f t="shared" si="44"/>
        <v>#DIV/0!</v>
      </c>
      <c r="Z71" s="400" t="e">
        <f t="shared" si="43"/>
        <v>#DIV/0!</v>
      </c>
      <c r="AA71" s="400" t="e">
        <f t="shared" si="43"/>
        <v>#DIV/0!</v>
      </c>
      <c r="AB71" s="400" t="e">
        <f t="shared" si="43"/>
        <v>#DIV/0!</v>
      </c>
      <c r="AC71" s="400" t="e">
        <f t="shared" si="43"/>
        <v>#DIV/0!</v>
      </c>
      <c r="AD71" s="400" t="e">
        <f t="shared" si="43"/>
        <v>#DIV/0!</v>
      </c>
      <c r="AE71" s="400" t="e">
        <f t="shared" si="43"/>
        <v>#DIV/0!</v>
      </c>
      <c r="AF71" s="400" t="e">
        <f t="shared" si="43"/>
        <v>#DIV/0!</v>
      </c>
      <c r="AG71" s="400" t="e">
        <f t="shared" si="43"/>
        <v>#DIV/0!</v>
      </c>
      <c r="AH71" s="400" t="e">
        <f t="shared" si="43"/>
        <v>#DIV/0!</v>
      </c>
      <c r="AI71" s="400" t="e">
        <f t="shared" si="43"/>
        <v>#DIV/0!</v>
      </c>
      <c r="AJ71" s="400" t="e">
        <f t="shared" si="43"/>
        <v>#DIV/0!</v>
      </c>
      <c r="AK71" s="400" t="e">
        <f t="shared" si="43"/>
        <v>#DIV/0!</v>
      </c>
      <c r="AL71" s="400" t="e">
        <f t="shared" si="43"/>
        <v>#DIV/0!</v>
      </c>
      <c r="AM71" s="400" t="e">
        <f t="shared" si="43"/>
        <v>#DIV/0!</v>
      </c>
      <c r="AN71" s="400" t="e">
        <f t="shared" si="43"/>
        <v>#DIV/0!</v>
      </c>
      <c r="AO71" s="396" t="e">
        <f t="shared" si="43"/>
        <v>#DIV/0!</v>
      </c>
    </row>
    <row r="72" spans="2:41" ht="35.25" customHeight="1" thickBot="1" x14ac:dyDescent="0.3">
      <c r="B72" s="481"/>
      <c r="C72" s="390" t="s">
        <v>1106</v>
      </c>
      <c r="D72" s="391">
        <f>SUM('caseload data'!E:E)</f>
        <v>0</v>
      </c>
      <c r="E72" s="391">
        <f>SUM('caseload data'!F:F)</f>
        <v>0</v>
      </c>
      <c r="F72" s="391">
        <f>SUM('caseload data'!G:G)</f>
        <v>0</v>
      </c>
      <c r="G72" s="391">
        <f>SUM('caseload data'!H:H)</f>
        <v>0</v>
      </c>
      <c r="H72" s="391">
        <f>SUM('caseload data'!I:I)</f>
        <v>0</v>
      </c>
      <c r="I72" s="391">
        <f>SUM('caseload data'!J:J)</f>
        <v>0</v>
      </c>
      <c r="J72" s="391">
        <f>SUM('caseload data'!K:K)</f>
        <v>0</v>
      </c>
      <c r="K72" s="391">
        <f>SUM('caseload data'!L:L)</f>
        <v>0</v>
      </c>
      <c r="L72" s="391">
        <f>SUM('caseload data'!M:M)</f>
        <v>0</v>
      </c>
      <c r="M72" s="391">
        <f>SUM('caseload data'!N:N)</f>
        <v>0</v>
      </c>
      <c r="N72" s="391">
        <f>SUM('caseload data'!O:O)</f>
        <v>0</v>
      </c>
      <c r="O72" s="391">
        <f>SUM('caseload data'!P:P)</f>
        <v>0</v>
      </c>
      <c r="P72" s="391">
        <f>SUM('caseload data'!Q:Q)</f>
        <v>0</v>
      </c>
      <c r="Q72" s="391">
        <f>SUM('caseload data'!R:R)</f>
        <v>0</v>
      </c>
      <c r="R72" s="391">
        <f>SUM('caseload data'!S:S)</f>
        <v>0</v>
      </c>
      <c r="S72" s="391">
        <f>SUM('caseload data'!T:T)</f>
        <v>0</v>
      </c>
      <c r="T72" s="392">
        <f>SUM('caseload data'!V:V)</f>
        <v>0</v>
      </c>
      <c r="U72" s="64"/>
      <c r="V72" s="64"/>
      <c r="W72" s="131"/>
      <c r="X72" s="132"/>
      <c r="Y72" s="133"/>
      <c r="Z72" s="133"/>
      <c r="AA72" s="133"/>
      <c r="AB72" s="133"/>
      <c r="AC72" s="133"/>
      <c r="AD72" s="133"/>
      <c r="AE72" s="133"/>
    </row>
    <row r="74" spans="2:41" ht="15.75" thickBot="1" x14ac:dyDescent="0.3"/>
    <row r="75" spans="2:41" ht="23.25" customHeight="1" thickBot="1" x14ac:dyDescent="0.3">
      <c r="B75" s="1"/>
      <c r="C75" s="2"/>
      <c r="D75" s="487" t="s">
        <v>1107</v>
      </c>
      <c r="E75" s="488"/>
      <c r="F75" s="488"/>
      <c r="G75" s="488"/>
      <c r="H75" s="488"/>
      <c r="I75" s="488"/>
      <c r="J75" s="488"/>
      <c r="K75" s="488"/>
      <c r="L75" s="488"/>
      <c r="M75" s="488"/>
      <c r="N75" s="488"/>
      <c r="O75" s="488"/>
      <c r="P75" s="488"/>
      <c r="Q75" s="488"/>
      <c r="R75" s="488"/>
      <c r="S75" s="488"/>
      <c r="T75" s="489"/>
      <c r="W75" s="1"/>
      <c r="X75" s="2"/>
      <c r="Y75" s="491" t="s">
        <v>1108</v>
      </c>
      <c r="Z75" s="492"/>
      <c r="AA75" s="492"/>
      <c r="AB75" s="492"/>
      <c r="AC75" s="492"/>
      <c r="AD75" s="492"/>
      <c r="AE75" s="492"/>
      <c r="AF75" s="492"/>
      <c r="AG75" s="492"/>
      <c r="AH75" s="492"/>
      <c r="AI75" s="492"/>
      <c r="AJ75" s="492"/>
      <c r="AK75" s="492"/>
      <c r="AL75" s="492"/>
      <c r="AM75" s="492"/>
      <c r="AN75" s="492"/>
    </row>
    <row r="76" spans="2:41" x14ac:dyDescent="0.25">
      <c r="B76" s="124" t="s">
        <v>853</v>
      </c>
      <c r="C76" s="125" t="s">
        <v>1018</v>
      </c>
      <c r="D76" s="38" t="s">
        <v>879</v>
      </c>
      <c r="E76" s="38" t="s">
        <v>880</v>
      </c>
      <c r="F76" s="38" t="s">
        <v>881</v>
      </c>
      <c r="G76" s="38" t="s">
        <v>882</v>
      </c>
      <c r="H76" s="38" t="s">
        <v>883</v>
      </c>
      <c r="I76" s="38" t="s">
        <v>884</v>
      </c>
      <c r="J76" s="38" t="s">
        <v>885</v>
      </c>
      <c r="K76" s="38" t="s">
        <v>886</v>
      </c>
      <c r="L76" s="38" t="s">
        <v>887</v>
      </c>
      <c r="M76" s="38" t="s">
        <v>888</v>
      </c>
      <c r="N76" s="38" t="s">
        <v>889</v>
      </c>
      <c r="O76" s="38" t="s">
        <v>890</v>
      </c>
      <c r="P76" s="38" t="s">
        <v>891</v>
      </c>
      <c r="Q76" s="38" t="s">
        <v>892</v>
      </c>
      <c r="R76" s="38" t="s">
        <v>893</v>
      </c>
      <c r="S76" s="38" t="s">
        <v>894</v>
      </c>
      <c r="T76" s="127" t="s">
        <v>896</v>
      </c>
      <c r="U76" s="64"/>
      <c r="V76" s="64"/>
      <c r="W76" s="124" t="s">
        <v>853</v>
      </c>
      <c r="X76" s="126" t="s">
        <v>1018</v>
      </c>
      <c r="Y76" s="38" t="s">
        <v>879</v>
      </c>
      <c r="Z76" s="38" t="s">
        <v>880</v>
      </c>
      <c r="AA76" s="38" t="s">
        <v>881</v>
      </c>
      <c r="AB76" s="38" t="s">
        <v>882</v>
      </c>
      <c r="AC76" s="38" t="s">
        <v>883</v>
      </c>
      <c r="AD76" s="38" t="s">
        <v>884</v>
      </c>
      <c r="AE76" s="38" t="s">
        <v>885</v>
      </c>
      <c r="AF76" s="38" t="s">
        <v>886</v>
      </c>
      <c r="AG76" s="38" t="s">
        <v>887</v>
      </c>
      <c r="AH76" s="38" t="s">
        <v>888</v>
      </c>
      <c r="AI76" s="38" t="s">
        <v>889</v>
      </c>
      <c r="AJ76" s="38" t="s">
        <v>890</v>
      </c>
      <c r="AK76" s="38" t="s">
        <v>891</v>
      </c>
      <c r="AL76" s="38" t="s">
        <v>892</v>
      </c>
      <c r="AM76" s="38" t="s">
        <v>893</v>
      </c>
      <c r="AN76" s="38" t="s">
        <v>894</v>
      </c>
      <c r="AO76" s="38" t="s">
        <v>1016</v>
      </c>
    </row>
    <row r="77" spans="2:41" x14ac:dyDescent="0.25">
      <c r="B77" s="482" t="s">
        <v>17</v>
      </c>
      <c r="C77" s="128" t="s">
        <v>1019</v>
      </c>
      <c r="D77" s="378"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76" t="s">
        <v>17</v>
      </c>
      <c r="X77" s="128" t="s">
        <v>1019</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25">
      <c r="B78" s="483"/>
      <c r="C78" s="129" t="s">
        <v>1024</v>
      </c>
      <c r="D78" s="378"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77"/>
      <c r="X78" s="129" t="s">
        <v>1024</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25">
      <c r="B79" s="483"/>
      <c r="C79" s="129" t="s">
        <v>1025</v>
      </c>
      <c r="D79" s="378"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77"/>
      <c r="X79" s="129" t="s">
        <v>1025</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25">
      <c r="B80" s="483"/>
      <c r="C80" s="129" t="s">
        <v>1026</v>
      </c>
      <c r="D80" s="378"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77"/>
      <c r="X80" s="129" t="s">
        <v>1026</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25">
      <c r="B81" s="484"/>
      <c r="C81" s="130" t="s">
        <v>1370</v>
      </c>
      <c r="D81" s="378" cm="1">
        <f t="array" ref="D81">SUM(SUMIFS('caseload data'!E:E,'caseload data'!$D:$D,"DMY",'caseload data'!$A:$A,"East Midlands Region",'caseload data'!$B:$B,{"licence","community"}))</f>
        <v>0</v>
      </c>
      <c r="E81" s="378" cm="1">
        <f t="array" ref="E81">SUM(SUMIFS('caseload data'!F:F,'caseload data'!$D:$D,"DMY",'caseload data'!$A:$A,"East Midlands Region",'caseload data'!$B:$B,{"licence","community"}))</f>
        <v>0</v>
      </c>
      <c r="F81" s="378" cm="1">
        <f t="array" ref="F81">SUM(SUMIFS('caseload data'!G:G,'caseload data'!$D:$D,"DMY",'caseload data'!$A:$A,"East Midlands Region",'caseload data'!$B:$B,{"licence","community"}))</f>
        <v>0</v>
      </c>
      <c r="G81" s="378" cm="1">
        <f t="array" ref="G81">SUM(SUMIFS('caseload data'!H:H,'caseload data'!$D:$D,"DMY",'caseload data'!$A:$A,"East Midlands Region",'caseload data'!$B:$B,{"licence","community"}))</f>
        <v>0</v>
      </c>
      <c r="H81" s="378" cm="1">
        <f t="array" ref="H81">SUM(SUMIFS('caseload data'!I:I,'caseload data'!$D:$D,"DMY",'caseload data'!$A:$A,"East Midlands Region",'caseload data'!$B:$B,{"licence","community"}))</f>
        <v>0</v>
      </c>
      <c r="I81" s="378" cm="1">
        <f t="array" ref="I81">SUM(SUMIFS('caseload data'!J:J,'caseload data'!$D:$D,"DMY",'caseload data'!$A:$A,"East Midlands Region",'caseload data'!$B:$B,{"licence","community"}))</f>
        <v>0</v>
      </c>
      <c r="J81" s="378" cm="1">
        <f t="array" ref="J81">SUM(SUMIFS('caseload data'!K:K,'caseload data'!$D:$D,"DMY",'caseload data'!$A:$A,"East Midlands Region",'caseload data'!$B:$B,{"licence","community"}))</f>
        <v>0</v>
      </c>
      <c r="K81" s="378" cm="1">
        <f t="array" ref="K81">SUM(SUMIFS('caseload data'!L:L,'caseload data'!$D:$D,"DMY",'caseload data'!$A:$A,"East Midlands Region",'caseload data'!$B:$B,{"licence","community"}))</f>
        <v>0</v>
      </c>
      <c r="L81" s="378" cm="1">
        <f t="array" ref="L81">SUM(SUMIFS('caseload data'!M:M,'caseload data'!$D:$D,"DMY",'caseload data'!$A:$A,"East Midlands Region",'caseload data'!$B:$B,{"licence","community"}))</f>
        <v>0</v>
      </c>
      <c r="M81" s="378" cm="1">
        <f t="array" ref="M81">SUM(SUMIFS('caseload data'!N:N,'caseload data'!$D:$D,"DMY",'caseload data'!$A:$A,"East Midlands Region",'caseload data'!$B:$B,{"licence","community"}))</f>
        <v>0</v>
      </c>
      <c r="N81" s="378" cm="1">
        <f t="array" ref="N81">SUM(SUMIFS('caseload data'!O:O,'caseload data'!$D:$D,"DMY",'caseload data'!$A:$A,"East Midlands Region",'caseload data'!$B:$B,{"licence","community"}))</f>
        <v>0</v>
      </c>
      <c r="O81" s="378" cm="1">
        <f t="array" ref="O81">SUM(SUMIFS('caseload data'!P:P,'caseload data'!$D:$D,"DMY",'caseload data'!$A:$A,"East Midlands Region",'caseload data'!$B:$B,{"licence","community"}))</f>
        <v>0</v>
      </c>
      <c r="P81" s="378" cm="1">
        <f t="array" ref="P81">SUM(SUMIFS('caseload data'!Q:Q,'caseload data'!$D:$D,"DMY",'caseload data'!$A:$A,"East Midlands Region",'caseload data'!$B:$B,{"licence","community"}))</f>
        <v>0</v>
      </c>
      <c r="Q81" s="378" cm="1">
        <f t="array" ref="Q81">SUM(SUMIFS('caseload data'!R:R,'caseload data'!$D:$D,"DMY",'caseload data'!$A:$A,"East Midlands Region",'caseload data'!$B:$B,{"licence","community"}))</f>
        <v>0</v>
      </c>
      <c r="R81" s="378" cm="1">
        <f t="array" ref="R81">SUM(SUMIFS('caseload data'!S:S,'caseload data'!$D:$D,"DMY",'caseload data'!$A:$A,"East Midlands Region",'caseload data'!$B:$B,{"licence","community"}))</f>
        <v>0</v>
      </c>
      <c r="S81" s="378"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78"/>
      <c r="X81" s="130" t="s">
        <v>1370</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25">
      <c r="B82" s="476" t="s">
        <v>18</v>
      </c>
      <c r="C82" s="128" t="s">
        <v>1019</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76" t="s">
        <v>18</v>
      </c>
      <c r="X82" s="128" t="s">
        <v>1019</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25">
      <c r="B83" s="477"/>
      <c r="C83" s="129" t="s">
        <v>1024</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77"/>
      <c r="X83" s="129" t="s">
        <v>1024</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25">
      <c r="B84" s="477"/>
      <c r="C84" s="129" t="s">
        <v>1025</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77"/>
      <c r="X84" s="129" t="s">
        <v>1025</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25">
      <c r="B85" s="477"/>
      <c r="C85" s="129" t="s">
        <v>1026</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77"/>
      <c r="X85" s="129" t="s">
        <v>1026</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25">
      <c r="B86" s="478"/>
      <c r="C86" s="130" t="s">
        <v>1370</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78"/>
      <c r="X86" s="130" t="s">
        <v>1370</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25">
      <c r="B87" s="476" t="s">
        <v>19</v>
      </c>
      <c r="C87" s="128" t="s">
        <v>1019</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76" t="s">
        <v>19</v>
      </c>
      <c r="X87" s="128" t="s">
        <v>1019</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25">
      <c r="B88" s="477"/>
      <c r="C88" s="129" t="s">
        <v>1024</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77"/>
      <c r="X88" s="129" t="s">
        <v>1024</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25">
      <c r="B89" s="477"/>
      <c r="C89" s="129" t="s">
        <v>1025</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77"/>
      <c r="X89" s="129" t="s">
        <v>1025</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25">
      <c r="B90" s="477"/>
      <c r="C90" s="129" t="s">
        <v>1026</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77"/>
      <c r="X90" s="129" t="s">
        <v>1026</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25">
      <c r="B91" s="478"/>
      <c r="C91" s="130" t="s">
        <v>1370</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78"/>
      <c r="X91" s="130" t="s">
        <v>1370</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25">
      <c r="B92" s="476" t="s">
        <v>20</v>
      </c>
      <c r="C92" s="128" t="s">
        <v>1019</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76" t="s">
        <v>20</v>
      </c>
      <c r="X92" s="128" t="s">
        <v>1019</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25">
      <c r="B93" s="477"/>
      <c r="C93" s="129" t="s">
        <v>1024</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77"/>
      <c r="X93" s="129" t="s">
        <v>1024</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25">
      <c r="B94" s="477"/>
      <c r="C94" s="129" t="s">
        <v>1025</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77"/>
      <c r="X94" s="129" t="s">
        <v>1025</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25">
      <c r="B95" s="477"/>
      <c r="C95" s="129" t="s">
        <v>1026</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77"/>
      <c r="X95" s="129" t="s">
        <v>1026</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25">
      <c r="B96" s="478"/>
      <c r="C96" s="130" t="s">
        <v>1370</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78"/>
      <c r="X96" s="130" t="s">
        <v>1370</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25">
      <c r="B97" s="476" t="s">
        <v>21</v>
      </c>
      <c r="C97" s="128" t="s">
        <v>1019</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76" t="s">
        <v>21</v>
      </c>
      <c r="X97" s="128" t="s">
        <v>1019</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25">
      <c r="B98" s="477"/>
      <c r="C98" s="129" t="s">
        <v>1024</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77"/>
      <c r="X98" s="129" t="s">
        <v>1024</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25">
      <c r="B99" s="477"/>
      <c r="C99" s="129" t="s">
        <v>1025</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77"/>
      <c r="X99" s="129" t="s">
        <v>1025</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25">
      <c r="B100" s="477"/>
      <c r="C100" s="129" t="s">
        <v>1026</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77"/>
      <c r="X100" s="129" t="s">
        <v>1026</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25">
      <c r="B101" s="478"/>
      <c r="C101" s="130" t="s">
        <v>1370</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78"/>
      <c r="X101" s="130" t="s">
        <v>1370</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25">
      <c r="B102" s="476" t="s">
        <v>22</v>
      </c>
      <c r="C102" s="128" t="s">
        <v>1019</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76" t="s">
        <v>22</v>
      </c>
      <c r="X102" s="128" t="s">
        <v>1019</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25">
      <c r="B103" s="477"/>
      <c r="C103" s="129" t="s">
        <v>1024</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77"/>
      <c r="X103" s="129" t="s">
        <v>1024</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25">
      <c r="B104" s="477"/>
      <c r="C104" s="129" t="s">
        <v>1025</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77"/>
      <c r="X104" s="129" t="s">
        <v>1025</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25">
      <c r="B105" s="477"/>
      <c r="C105" s="129" t="s">
        <v>1026</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77"/>
      <c r="X105" s="129" t="s">
        <v>1026</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25">
      <c r="B106" s="478"/>
      <c r="C106" s="130" t="s">
        <v>1370</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78"/>
      <c r="X106" s="130" t="s">
        <v>1370</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25">
      <c r="B107" s="476" t="s">
        <v>23</v>
      </c>
      <c r="C107" s="128" t="s">
        <v>1019</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76" t="s">
        <v>23</v>
      </c>
      <c r="X107" s="128" t="s">
        <v>1019</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25">
      <c r="B108" s="477"/>
      <c r="C108" s="129" t="s">
        <v>1024</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77"/>
      <c r="X108" s="129" t="s">
        <v>1024</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25">
      <c r="B109" s="477"/>
      <c r="C109" s="129" t="s">
        <v>1025</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77"/>
      <c r="X109" s="129" t="s">
        <v>1025</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25">
      <c r="B110" s="477"/>
      <c r="C110" s="129" t="s">
        <v>1026</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77"/>
      <c r="X110" s="129" t="s">
        <v>1026</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25">
      <c r="B111" s="478"/>
      <c r="C111" s="130" t="s">
        <v>1370</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78"/>
      <c r="X111" s="130" t="s">
        <v>1370</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25">
      <c r="B112" s="476" t="s">
        <v>24</v>
      </c>
      <c r="C112" s="128" t="s">
        <v>1019</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76" t="s">
        <v>24</v>
      </c>
      <c r="X112" s="128" t="s">
        <v>1019</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25">
      <c r="B113" s="477"/>
      <c r="C113" s="129" t="s">
        <v>1024</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77"/>
      <c r="X113" s="129" t="s">
        <v>1024</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25">
      <c r="B114" s="477"/>
      <c r="C114" s="129" t="s">
        <v>1025</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77"/>
      <c r="X114" s="129" t="s">
        <v>1025</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25">
      <c r="B115" s="477"/>
      <c r="C115" s="129" t="s">
        <v>1026</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77"/>
      <c r="X115" s="129" t="s">
        <v>1026</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25">
      <c r="B116" s="478"/>
      <c r="C116" s="130" t="s">
        <v>1370</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78"/>
      <c r="X116" s="130" t="s">
        <v>1370</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25">
      <c r="B117" s="476" t="s">
        <v>25</v>
      </c>
      <c r="C117" s="128" t="s">
        <v>1019</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76" t="s">
        <v>25</v>
      </c>
      <c r="X117" s="128" t="s">
        <v>1019</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25">
      <c r="B118" s="477"/>
      <c r="C118" s="129" t="s">
        <v>1024</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77"/>
      <c r="X118" s="129" t="s">
        <v>1024</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25">
      <c r="B119" s="477"/>
      <c r="C119" s="129" t="s">
        <v>1025</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77"/>
      <c r="X119" s="129" t="s">
        <v>1025</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25">
      <c r="B120" s="477"/>
      <c r="C120" s="129" t="s">
        <v>1026</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77"/>
      <c r="X120" s="129" t="s">
        <v>1026</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25">
      <c r="B121" s="478"/>
      <c r="C121" s="130" t="s">
        <v>1370</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78"/>
      <c r="X121" s="130" t="s">
        <v>1370</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25">
      <c r="B122" s="476" t="s">
        <v>26</v>
      </c>
      <c r="C122" s="128" t="s">
        <v>1019</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76" t="s">
        <v>26</v>
      </c>
      <c r="X122" s="128" t="s">
        <v>1019</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25">
      <c r="B123" s="477"/>
      <c r="C123" s="129" t="s">
        <v>1024</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77"/>
      <c r="X123" s="129" t="s">
        <v>1024</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25">
      <c r="B124" s="477"/>
      <c r="C124" s="129" t="s">
        <v>1025</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77"/>
      <c r="X124" s="129" t="s">
        <v>1025</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25">
      <c r="B125" s="477"/>
      <c r="C125" s="129" t="s">
        <v>1026</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77"/>
      <c r="X125" s="129" t="s">
        <v>1026</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25">
      <c r="B126" s="478"/>
      <c r="C126" s="130" t="s">
        <v>1370</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78"/>
      <c r="X126" s="130" t="s">
        <v>1370</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25">
      <c r="B127" s="476" t="s">
        <v>27</v>
      </c>
      <c r="C127" s="128" t="s">
        <v>1019</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76" t="s">
        <v>27</v>
      </c>
      <c r="X127" s="128" t="s">
        <v>1019</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25">
      <c r="B128" s="477"/>
      <c r="C128" s="129" t="s">
        <v>1024</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77"/>
      <c r="X128" s="129" t="s">
        <v>1024</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25">
      <c r="B129" s="477"/>
      <c r="C129" s="129" t="s">
        <v>1025</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77"/>
      <c r="X129" s="129" t="s">
        <v>1025</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25">
      <c r="B130" s="477"/>
      <c r="C130" s="129" t="s">
        <v>1026</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77"/>
      <c r="X130" s="129" t="s">
        <v>1026</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25">
      <c r="B131" s="478"/>
      <c r="C131" s="130" t="s">
        <v>1370</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78"/>
      <c r="X131" s="130" t="s">
        <v>1370</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25">
      <c r="B132" s="476" t="s">
        <v>28</v>
      </c>
      <c r="C132" s="128" t="s">
        <v>1019</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76" t="s">
        <v>28</v>
      </c>
      <c r="X132" s="128" t="s">
        <v>1019</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25">
      <c r="B133" s="477"/>
      <c r="C133" s="129" t="s">
        <v>1024</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77"/>
      <c r="X133" s="129" t="s">
        <v>1024</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25">
      <c r="B134" s="477"/>
      <c r="C134" s="129" t="s">
        <v>1025</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77"/>
      <c r="X134" s="129" t="s">
        <v>1025</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25">
      <c r="B135" s="477"/>
      <c r="C135" s="129" t="s">
        <v>1026</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77"/>
      <c r="X135" s="129" t="s">
        <v>1026</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75" thickBot="1" x14ac:dyDescent="0.3">
      <c r="B136" s="477"/>
      <c r="C136" s="129" t="s">
        <v>1370</v>
      </c>
      <c r="D136" s="385" cm="1">
        <f t="array" ref="D136">SUM(SUMIFS('caseload data'!E:E,'caseload data'!$D:$D,"DMY",'caseload data'!$A:$A,"Yorkshire and The Humber",'caseload data'!$B:$B,{"licence","community"}))</f>
        <v>0</v>
      </c>
      <c r="E136" s="385" cm="1">
        <f t="array" ref="E136">SUM(SUMIFS('caseload data'!F:F,'caseload data'!$D:$D,"DMY",'caseload data'!$A:$A,"Yorkshire and The Humber",'caseload data'!$B:$B,{"licence","community"}))</f>
        <v>0</v>
      </c>
      <c r="F136" s="385" cm="1">
        <f t="array" ref="F136">SUM(SUMIFS('caseload data'!G:G,'caseload data'!$D:$D,"DMY",'caseload data'!$A:$A,"Yorkshire and The Humber",'caseload data'!$B:$B,{"licence","community"}))</f>
        <v>0</v>
      </c>
      <c r="G136" s="385" cm="1">
        <f t="array" ref="G136">SUM(SUMIFS('caseload data'!H:H,'caseload data'!$D:$D,"DMY",'caseload data'!$A:$A,"Yorkshire and The Humber",'caseload data'!$B:$B,{"licence","community"}))</f>
        <v>0</v>
      </c>
      <c r="H136" s="385" cm="1">
        <f t="array" ref="H136">SUM(SUMIFS('caseload data'!I:I,'caseload data'!$D:$D,"DMY",'caseload data'!$A:$A,"Yorkshire and The Humber",'caseload data'!$B:$B,{"licence","community"}))</f>
        <v>0</v>
      </c>
      <c r="I136" s="385" cm="1">
        <f t="array" ref="I136">SUM(SUMIFS('caseload data'!J:J,'caseload data'!$D:$D,"DMY",'caseload data'!$A:$A,"Yorkshire and The Humber",'caseload data'!$B:$B,{"licence","community"}))</f>
        <v>0</v>
      </c>
      <c r="J136" s="385" cm="1">
        <f t="array" ref="J136">SUM(SUMIFS('caseload data'!K:K,'caseload data'!$D:$D,"DMY",'caseload data'!$A:$A,"Yorkshire and The Humber",'caseload data'!$B:$B,{"licence","community"}))</f>
        <v>0</v>
      </c>
      <c r="K136" s="385" cm="1">
        <f t="array" ref="K136">SUM(SUMIFS('caseload data'!L:L,'caseload data'!$D:$D,"DMY",'caseload data'!$A:$A,"Yorkshire and The Humber",'caseload data'!$B:$B,{"licence","community"}))</f>
        <v>0</v>
      </c>
      <c r="L136" s="385" cm="1">
        <f t="array" ref="L136">SUM(SUMIFS('caseload data'!M:M,'caseload data'!$D:$D,"DMY",'caseload data'!$A:$A,"Yorkshire and The Humber",'caseload data'!$B:$B,{"licence","community"}))</f>
        <v>0</v>
      </c>
      <c r="M136" s="385" cm="1">
        <f t="array" ref="M136">SUM(SUMIFS('caseload data'!N:N,'caseload data'!$D:$D,"DMY",'caseload data'!$A:$A,"Yorkshire and The Humber",'caseload data'!$B:$B,{"licence","community"}))</f>
        <v>0</v>
      </c>
      <c r="N136" s="385" cm="1">
        <f t="array" ref="N136">SUM(SUMIFS('caseload data'!O:O,'caseload data'!$D:$D,"DMY",'caseload data'!$A:$A,"Yorkshire and The Humber",'caseload data'!$B:$B,{"licence","community"}))</f>
        <v>0</v>
      </c>
      <c r="O136" s="385" cm="1">
        <f t="array" ref="O136">SUM(SUMIFS('caseload data'!P:P,'caseload data'!$D:$D,"DMY",'caseload data'!$A:$A,"Yorkshire and The Humber",'caseload data'!$B:$B,{"licence","community"}))</f>
        <v>0</v>
      </c>
      <c r="P136" s="385" cm="1">
        <f t="array" ref="P136">SUM(SUMIFS('caseload data'!Q:Q,'caseload data'!$D:$D,"DMY",'caseload data'!$A:$A,"Yorkshire and The Humber",'caseload data'!$B:$B,{"licence","community"}))</f>
        <v>0</v>
      </c>
      <c r="Q136" s="385" cm="1">
        <f t="array" ref="Q136">SUM(SUMIFS('caseload data'!R:R,'caseload data'!$D:$D,"DMY",'caseload data'!$A:$A,"Yorkshire and The Humber",'caseload data'!$B:$B,{"licence","community"}))</f>
        <v>0</v>
      </c>
      <c r="R136" s="385" cm="1">
        <f t="array" ref="R136">SUM(SUMIFS('caseload data'!S:S,'caseload data'!$D:$D,"DMY",'caseload data'!$A:$A,"Yorkshire and The Humber",'caseload data'!$B:$B,{"licence","community"}))</f>
        <v>0</v>
      </c>
      <c r="S136" s="385" cm="1">
        <f t="array" ref="S136">SUM(SUMIFS('caseload data'!T:T,'caseload data'!$D:$D,"DMY",'caseload data'!$A:$A,"Yorkshire and The Humber",'caseload data'!$B:$B,{"licence","community"}))</f>
        <v>0</v>
      </c>
      <c r="T136" s="385" cm="1">
        <f t="array" ref="T136">SUM(SUMIFS('caseload data'!V:V,'caseload data'!$D:$D,"DMY",'caseload data'!$A:$A,"Yorkshire and The Humber",'caseload data'!$B:$B,{"licence","community"}))</f>
        <v>0</v>
      </c>
      <c r="U136" s="64"/>
      <c r="V136" s="64"/>
      <c r="W136" s="477"/>
      <c r="X136" s="129" t="s">
        <v>1370</v>
      </c>
      <c r="Y136" s="381" t="e">
        <f t="shared" si="71"/>
        <v>#DIV/0!</v>
      </c>
      <c r="Z136" s="381" t="e">
        <f t="shared" si="70"/>
        <v>#DIV/0!</v>
      </c>
      <c r="AA136" s="381" t="e">
        <f t="shared" si="70"/>
        <v>#DIV/0!</v>
      </c>
      <c r="AB136" s="381" t="e">
        <f t="shared" si="70"/>
        <v>#DIV/0!</v>
      </c>
      <c r="AC136" s="381" t="e">
        <f t="shared" si="70"/>
        <v>#DIV/0!</v>
      </c>
      <c r="AD136" s="381" t="e">
        <f t="shared" si="70"/>
        <v>#DIV/0!</v>
      </c>
      <c r="AE136" s="381" t="e">
        <f t="shared" si="70"/>
        <v>#DIV/0!</v>
      </c>
      <c r="AF136" s="381" t="e">
        <f t="shared" si="70"/>
        <v>#DIV/0!</v>
      </c>
      <c r="AG136" s="381" t="e">
        <f t="shared" si="70"/>
        <v>#DIV/0!</v>
      </c>
      <c r="AH136" s="381" t="e">
        <f t="shared" si="70"/>
        <v>#DIV/0!</v>
      </c>
      <c r="AI136" s="381" t="e">
        <f t="shared" si="70"/>
        <v>#DIV/0!</v>
      </c>
      <c r="AJ136" s="381" t="e">
        <f t="shared" si="70"/>
        <v>#DIV/0!</v>
      </c>
      <c r="AK136" s="381" t="e">
        <f t="shared" si="70"/>
        <v>#DIV/0!</v>
      </c>
      <c r="AL136" s="381" t="e">
        <f t="shared" si="70"/>
        <v>#DIV/0!</v>
      </c>
      <c r="AM136" s="381" t="e">
        <f t="shared" si="70"/>
        <v>#DIV/0!</v>
      </c>
      <c r="AN136" s="381" t="e">
        <f t="shared" si="70"/>
        <v>#DIV/0!</v>
      </c>
      <c r="AO136" s="381" t="e">
        <f t="shared" si="70"/>
        <v>#DIV/0!</v>
      </c>
    </row>
    <row r="137" spans="2:41" x14ac:dyDescent="0.25">
      <c r="B137" s="500" t="s">
        <v>981</v>
      </c>
      <c r="C137" s="386" t="s">
        <v>1019</v>
      </c>
      <c r="D137" s="387" cm="1">
        <f t="array" ref="D137">SUM(SUMIFS('caseload data'!E:E,'caseload data'!$D:$D,"PO",'caseload data'!$B:$B,{"licence","community"}))</f>
        <v>0</v>
      </c>
      <c r="E137" s="387" cm="1">
        <f t="array" ref="E137">SUM(SUMIFS('caseload data'!F:F,'caseload data'!$D:$D,"PO",'caseload data'!$B:$B,{"licence","community"}))</f>
        <v>0</v>
      </c>
      <c r="F137" s="387" cm="1">
        <f t="array" ref="F137">SUM(SUMIFS('caseload data'!G:G,'caseload data'!$D:$D,"PO",'caseload data'!$B:$B,{"licence","community"}))</f>
        <v>0</v>
      </c>
      <c r="G137" s="387" cm="1">
        <f t="array" ref="G137">SUM(SUMIFS('caseload data'!H:H,'caseload data'!$D:$D,"PO",'caseload data'!$B:$B,{"licence","community"}))</f>
        <v>0</v>
      </c>
      <c r="H137" s="387" cm="1">
        <f t="array" ref="H137">SUM(SUMIFS('caseload data'!I:I,'caseload data'!$D:$D,"PO",'caseload data'!$B:$B,{"licence","community"}))</f>
        <v>0</v>
      </c>
      <c r="I137" s="387" cm="1">
        <f t="array" ref="I137">SUM(SUMIFS('caseload data'!J:J,'caseload data'!$D:$D,"PO",'caseload data'!$B:$B,{"licence","community"}))</f>
        <v>0</v>
      </c>
      <c r="J137" s="387" cm="1">
        <f t="array" ref="J137">SUM(SUMIFS('caseload data'!K:K,'caseload data'!$D:$D,"PO",'caseload data'!$B:$B,{"licence","community"}))</f>
        <v>0</v>
      </c>
      <c r="K137" s="387" cm="1">
        <f t="array" ref="K137">SUM(SUMIFS('caseload data'!L:L,'caseload data'!$D:$D,"PO",'caseload data'!$B:$B,{"licence","community"}))</f>
        <v>0</v>
      </c>
      <c r="L137" s="387" cm="1">
        <f t="array" ref="L137">SUM(SUMIFS('caseload data'!M:M,'caseload data'!$D:$D,"PO",'caseload data'!$B:$B,{"licence","community"}))</f>
        <v>0</v>
      </c>
      <c r="M137" s="387" cm="1">
        <f t="array" ref="M137">SUM(SUMIFS('caseload data'!N:N,'caseload data'!$D:$D,"PO",'caseload data'!$B:$B,{"licence","community"}))</f>
        <v>0</v>
      </c>
      <c r="N137" s="387" cm="1">
        <f t="array" ref="N137">SUM(SUMIFS('caseload data'!O:O,'caseload data'!$D:$D,"PO",'caseload data'!$B:$B,{"licence","community"}))</f>
        <v>0</v>
      </c>
      <c r="O137" s="387" cm="1">
        <f t="array" ref="O137">SUM(SUMIFS('caseload data'!P:P,'caseload data'!$D:$D,"PO",'caseload data'!$B:$B,{"licence","community"}))</f>
        <v>0</v>
      </c>
      <c r="P137" s="387" cm="1">
        <f t="array" ref="P137">SUM(SUMIFS('caseload data'!Q:Q,'caseload data'!$D:$D,"PO",'caseload data'!$B:$B,{"licence","community"}))</f>
        <v>0</v>
      </c>
      <c r="Q137" s="387" cm="1">
        <f t="array" ref="Q137">SUM(SUMIFS('caseload data'!R:R,'caseload data'!$D:$D,"PO",'caseload data'!$B:$B,{"licence","community"}))</f>
        <v>0</v>
      </c>
      <c r="R137" s="387" cm="1">
        <f t="array" ref="R137">SUM(SUMIFS('caseload data'!S:S,'caseload data'!$D:$D,"PO",'caseload data'!$B:$B,{"licence","community"}))</f>
        <v>0</v>
      </c>
      <c r="S137" s="387" cm="1">
        <f t="array" ref="S137">SUM(SUMIFS('caseload data'!T:T,'caseload data'!$D:$D,"PO",'caseload data'!$B:$B,{"licence","community"}))</f>
        <v>0</v>
      </c>
      <c r="T137" s="388">
        <f>SUM(SUMIFS('caseload data'!V:V,'caseload data'!D:D,"PO",'caseload data'!B:B,{"licence","community"}))</f>
        <v>0</v>
      </c>
      <c r="U137" s="64"/>
      <c r="V137" s="64"/>
      <c r="W137" s="479" t="s">
        <v>981</v>
      </c>
      <c r="X137" s="386" t="s">
        <v>1019</v>
      </c>
      <c r="Y137" s="399" t="e">
        <f>SUM(D137)/SUM(D$137:D$141)</f>
        <v>#DIV/0!</v>
      </c>
      <c r="Z137" s="399" t="e">
        <f t="shared" ref="Z137:AO141" si="72">SUM(E137)/SUM(E$137:E$141)</f>
        <v>#DIV/0!</v>
      </c>
      <c r="AA137" s="399" t="e">
        <f t="shared" si="72"/>
        <v>#DIV/0!</v>
      </c>
      <c r="AB137" s="399" t="e">
        <f t="shared" si="72"/>
        <v>#DIV/0!</v>
      </c>
      <c r="AC137" s="399" t="e">
        <f t="shared" si="72"/>
        <v>#DIV/0!</v>
      </c>
      <c r="AD137" s="399" t="e">
        <f t="shared" si="72"/>
        <v>#DIV/0!</v>
      </c>
      <c r="AE137" s="399" t="e">
        <f t="shared" si="72"/>
        <v>#DIV/0!</v>
      </c>
      <c r="AF137" s="399" t="e">
        <f t="shared" si="72"/>
        <v>#DIV/0!</v>
      </c>
      <c r="AG137" s="399" t="e">
        <f t="shared" si="72"/>
        <v>#DIV/0!</v>
      </c>
      <c r="AH137" s="399" t="e">
        <f t="shared" si="72"/>
        <v>#DIV/0!</v>
      </c>
      <c r="AI137" s="399" t="e">
        <f t="shared" si="72"/>
        <v>#DIV/0!</v>
      </c>
      <c r="AJ137" s="399" t="e">
        <f t="shared" si="72"/>
        <v>#DIV/0!</v>
      </c>
      <c r="AK137" s="399" t="e">
        <f t="shared" si="72"/>
        <v>#DIV/0!</v>
      </c>
      <c r="AL137" s="399" t="e">
        <f t="shared" si="72"/>
        <v>#DIV/0!</v>
      </c>
      <c r="AM137" s="399" t="e">
        <f t="shared" si="72"/>
        <v>#DIV/0!</v>
      </c>
      <c r="AN137" s="399" t="e">
        <f t="shared" si="72"/>
        <v>#DIV/0!</v>
      </c>
      <c r="AO137" s="401" t="e">
        <f t="shared" si="72"/>
        <v>#DIV/0!</v>
      </c>
    </row>
    <row r="138" spans="2:41" x14ac:dyDescent="0.25">
      <c r="B138" s="501"/>
      <c r="C138" s="137" t="s">
        <v>1024</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9">
        <f>SUM(SUMIFS('caseload data'!V:V,'caseload data'!D:D,"PSO",'caseload data'!B:B,{"licence","community"}))</f>
        <v>0</v>
      </c>
      <c r="U138" s="64"/>
      <c r="V138" s="64"/>
      <c r="W138" s="480"/>
      <c r="X138" s="137" t="s">
        <v>1024</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402" t="e">
        <f t="shared" si="72"/>
        <v>#DIV/0!</v>
      </c>
    </row>
    <row r="139" spans="2:41" x14ac:dyDescent="0.25">
      <c r="B139" s="501"/>
      <c r="C139" s="137" t="s">
        <v>1025</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9">
        <f>SUM(SUMIFS('caseload data'!V:V,'caseload data'!D:D,"TPO",'caseload data'!B:B,{"licence","community"}))</f>
        <v>0</v>
      </c>
      <c r="U139" s="64"/>
      <c r="V139" s="64"/>
      <c r="W139" s="480"/>
      <c r="X139" s="137" t="s">
        <v>1025</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402" t="e">
        <f t="shared" si="72"/>
        <v>#DIV/0!</v>
      </c>
    </row>
    <row r="140" spans="2:41" x14ac:dyDescent="0.25">
      <c r="B140" s="501"/>
      <c r="C140" s="137" t="s">
        <v>1026</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9">
        <f>SUM(SUMIFS('caseload data'!V:V,'caseload data'!$D:$D,"SPO",'caseload data'!$B:$B,{"licence","community"}))</f>
        <v>0</v>
      </c>
      <c r="U140" s="64"/>
      <c r="V140" s="64"/>
      <c r="W140" s="480"/>
      <c r="X140" s="137" t="s">
        <v>1026</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402" t="e">
        <f t="shared" si="72"/>
        <v>#DIV/0!</v>
      </c>
    </row>
    <row r="141" spans="2:41" ht="15.75" thickBot="1" x14ac:dyDescent="0.3">
      <c r="B141" s="501"/>
      <c r="C141" s="137" t="s">
        <v>1370</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9" cm="1">
        <f t="array" ref="T141">SUM(SUMIFS('caseload data'!V:V,'caseload data'!$D:$D,"DMY",'caseload data'!$B:$B,{"licence","community"}))</f>
        <v>0</v>
      </c>
      <c r="U141" s="64"/>
      <c r="V141" s="64"/>
      <c r="W141" s="481"/>
      <c r="X141" s="393" t="s">
        <v>1370</v>
      </c>
      <c r="Y141" s="400" t="e">
        <f t="shared" si="73"/>
        <v>#DIV/0!</v>
      </c>
      <c r="Z141" s="400" t="e">
        <f t="shared" si="72"/>
        <v>#DIV/0!</v>
      </c>
      <c r="AA141" s="400" t="e">
        <f t="shared" si="72"/>
        <v>#DIV/0!</v>
      </c>
      <c r="AB141" s="400" t="e">
        <f t="shared" si="72"/>
        <v>#DIV/0!</v>
      </c>
      <c r="AC141" s="400" t="e">
        <f t="shared" si="72"/>
        <v>#DIV/0!</v>
      </c>
      <c r="AD141" s="400" t="e">
        <f t="shared" si="72"/>
        <v>#DIV/0!</v>
      </c>
      <c r="AE141" s="400" t="e">
        <f t="shared" si="72"/>
        <v>#DIV/0!</v>
      </c>
      <c r="AF141" s="400" t="e">
        <f t="shared" si="72"/>
        <v>#DIV/0!</v>
      </c>
      <c r="AG141" s="400" t="e">
        <f t="shared" si="72"/>
        <v>#DIV/0!</v>
      </c>
      <c r="AH141" s="400" t="e">
        <f t="shared" si="72"/>
        <v>#DIV/0!</v>
      </c>
      <c r="AI141" s="400" t="e">
        <f t="shared" si="72"/>
        <v>#DIV/0!</v>
      </c>
      <c r="AJ141" s="400" t="e">
        <f t="shared" si="72"/>
        <v>#DIV/0!</v>
      </c>
      <c r="AK141" s="400" t="e">
        <f t="shared" si="72"/>
        <v>#DIV/0!</v>
      </c>
      <c r="AL141" s="400" t="e">
        <f t="shared" si="72"/>
        <v>#DIV/0!</v>
      </c>
      <c r="AM141" s="400" t="e">
        <f t="shared" si="72"/>
        <v>#DIV/0!</v>
      </c>
      <c r="AN141" s="400" t="e">
        <f t="shared" si="72"/>
        <v>#DIV/0!</v>
      </c>
      <c r="AO141" s="403" t="e">
        <f t="shared" si="72"/>
        <v>#DIV/0!</v>
      </c>
    </row>
    <row r="142" spans="2:41" ht="30" customHeight="1" thickBot="1" x14ac:dyDescent="0.3">
      <c r="B142" s="502"/>
      <c r="C142" s="390" t="s">
        <v>1106</v>
      </c>
      <c r="D142" s="391" cm="1">
        <f t="array" ref="D142">SUM(SUMIF('caseload data'!$B:$B,{"licence","community"},'caseload data'!E:E))</f>
        <v>0</v>
      </c>
      <c r="E142" s="391" cm="1">
        <f t="array" ref="E142">SUM(SUMIF('caseload data'!$B:$B,{"licence","community"},'caseload data'!F:F))</f>
        <v>0</v>
      </c>
      <c r="F142" s="391" cm="1">
        <f t="array" ref="F142">SUM(SUMIF('caseload data'!$B:$B,{"licence","community"},'caseload data'!G:G))</f>
        <v>0</v>
      </c>
      <c r="G142" s="391" cm="1">
        <f t="array" ref="G142">SUM(SUMIF('caseload data'!$B:$B,{"licence","community"},'caseload data'!H:H))</f>
        <v>0</v>
      </c>
      <c r="H142" s="391" cm="1">
        <f t="array" ref="H142">SUM(SUMIF('caseload data'!$B:$B,{"licence","community"},'caseload data'!I:I))</f>
        <v>0</v>
      </c>
      <c r="I142" s="391" cm="1">
        <f t="array" ref="I142">SUM(SUMIF('caseload data'!$B:$B,{"licence","community"},'caseload data'!J:J))</f>
        <v>0</v>
      </c>
      <c r="J142" s="391" cm="1">
        <f t="array" ref="J142">SUM(SUMIF('caseload data'!$B:$B,{"licence","community"},'caseload data'!K:K))</f>
        <v>0</v>
      </c>
      <c r="K142" s="391" cm="1">
        <f t="array" ref="K142">SUM(SUMIF('caseload data'!$B:$B,{"licence","community"},'caseload data'!L:L))</f>
        <v>0</v>
      </c>
      <c r="L142" s="391" cm="1">
        <f t="array" ref="L142">SUM(SUMIF('caseload data'!$B:$B,{"licence","community"},'caseload data'!M:M))</f>
        <v>0</v>
      </c>
      <c r="M142" s="391" cm="1">
        <f t="array" ref="M142">SUM(SUMIF('caseload data'!$B:$B,{"licence","community"},'caseload data'!N:N))</f>
        <v>0</v>
      </c>
      <c r="N142" s="391" cm="1">
        <f t="array" ref="N142">SUM(SUMIF('caseload data'!$B:$B,{"licence","community"},'caseload data'!O:O))</f>
        <v>0</v>
      </c>
      <c r="O142" s="391" cm="1">
        <f t="array" ref="O142">SUM(SUMIF('caseload data'!$B:$B,{"licence","community"},'caseload data'!P:P))</f>
        <v>0</v>
      </c>
      <c r="P142" s="391" cm="1">
        <f t="array" ref="P142">SUM(SUMIF('caseload data'!$B:$B,{"licence","community"},'caseload data'!Q:Q))</f>
        <v>0</v>
      </c>
      <c r="Q142" s="391" cm="1">
        <f t="array" ref="Q142">SUM(SUMIF('caseload data'!$B:$B,{"licence","community"},'caseload data'!R:R))</f>
        <v>0</v>
      </c>
      <c r="R142" s="391" cm="1">
        <f t="array" ref="R142">SUM(SUMIF('caseload data'!$B:$B,{"licence","community"},'caseload data'!S:S))</f>
        <v>0</v>
      </c>
      <c r="S142" s="391" cm="1">
        <f t="array" ref="S142">SUM(SUMIF('caseload data'!$B:$B,{"licence","community"},'caseload data'!T:T))</f>
        <v>0</v>
      </c>
      <c r="T142" s="392">
        <f>SUM(SUMIF('caseload data'!B:B,{"licence","community"},'caseload data'!V:V))</f>
        <v>0</v>
      </c>
      <c r="U142" s="64"/>
      <c r="V142" s="64"/>
      <c r="W142" s="131"/>
      <c r="X142" s="132"/>
      <c r="Y142" s="133"/>
      <c r="Z142" s="133"/>
      <c r="AA142" s="133"/>
      <c r="AB142" s="133"/>
      <c r="AC142" s="133"/>
      <c r="AD142" s="133"/>
      <c r="AE142" s="133"/>
    </row>
    <row r="144" spans="2:41" ht="15.75" thickBot="1" x14ac:dyDescent="0.3"/>
    <row r="145" spans="2:41" ht="16.5" thickBot="1" x14ac:dyDescent="0.3">
      <c r="B145" s="1"/>
      <c r="C145" s="2"/>
      <c r="D145" s="497" t="s">
        <v>1109</v>
      </c>
      <c r="E145" s="498"/>
      <c r="F145" s="498"/>
      <c r="G145" s="498"/>
      <c r="H145" s="498"/>
      <c r="I145" s="498"/>
      <c r="J145" s="498"/>
      <c r="K145" s="498"/>
      <c r="L145" s="498"/>
      <c r="M145" s="498"/>
      <c r="N145" s="498"/>
      <c r="O145" s="498"/>
      <c r="P145" s="498"/>
      <c r="Q145" s="498"/>
      <c r="R145" s="498"/>
      <c r="S145" s="498"/>
      <c r="T145" s="499"/>
      <c r="W145" s="1"/>
      <c r="X145" s="2"/>
      <c r="Y145" s="495" t="s">
        <v>1110</v>
      </c>
      <c r="Z145" s="496"/>
      <c r="AA145" s="496"/>
      <c r="AB145" s="496"/>
      <c r="AC145" s="496"/>
      <c r="AD145" s="496"/>
      <c r="AE145" s="496"/>
      <c r="AF145" s="496"/>
      <c r="AG145" s="496"/>
      <c r="AH145" s="496"/>
      <c r="AI145" s="496"/>
      <c r="AJ145" s="496"/>
      <c r="AK145" s="496"/>
      <c r="AL145" s="496"/>
      <c r="AM145" s="496"/>
      <c r="AN145" s="496"/>
    </row>
    <row r="146" spans="2:41" x14ac:dyDescent="0.25">
      <c r="B146" s="124" t="s">
        <v>853</v>
      </c>
      <c r="C146" s="126" t="s">
        <v>1018</v>
      </c>
      <c r="D146" s="38" t="s">
        <v>879</v>
      </c>
      <c r="E146" s="38" t="s">
        <v>880</v>
      </c>
      <c r="F146" s="38" t="s">
        <v>881</v>
      </c>
      <c r="G146" s="38" t="s">
        <v>882</v>
      </c>
      <c r="H146" s="38" t="s">
        <v>883</v>
      </c>
      <c r="I146" s="38" t="s">
        <v>884</v>
      </c>
      <c r="J146" s="38" t="s">
        <v>885</v>
      </c>
      <c r="K146" s="38" t="s">
        <v>886</v>
      </c>
      <c r="L146" s="38" t="s">
        <v>887</v>
      </c>
      <c r="M146" s="38" t="s">
        <v>888</v>
      </c>
      <c r="N146" s="38" t="s">
        <v>889</v>
      </c>
      <c r="O146" s="38" t="s">
        <v>890</v>
      </c>
      <c r="P146" s="38" t="s">
        <v>891</v>
      </c>
      <c r="Q146" s="38" t="s">
        <v>892</v>
      </c>
      <c r="R146" s="38" t="s">
        <v>893</v>
      </c>
      <c r="S146" s="38" t="s">
        <v>894</v>
      </c>
      <c r="T146" s="126" t="s">
        <v>896</v>
      </c>
      <c r="U146" s="64"/>
      <c r="V146" s="64"/>
      <c r="W146" s="124" t="s">
        <v>853</v>
      </c>
      <c r="X146" s="126" t="s">
        <v>1018</v>
      </c>
      <c r="Y146" s="38" t="s">
        <v>879</v>
      </c>
      <c r="Z146" s="38" t="s">
        <v>880</v>
      </c>
      <c r="AA146" s="38" t="s">
        <v>881</v>
      </c>
      <c r="AB146" s="38" t="s">
        <v>882</v>
      </c>
      <c r="AC146" s="38" t="s">
        <v>883</v>
      </c>
      <c r="AD146" s="38" t="s">
        <v>884</v>
      </c>
      <c r="AE146" s="38" t="s">
        <v>885</v>
      </c>
      <c r="AF146" s="38" t="s">
        <v>886</v>
      </c>
      <c r="AG146" s="38" t="s">
        <v>887</v>
      </c>
      <c r="AH146" s="38" t="s">
        <v>888</v>
      </c>
      <c r="AI146" s="38" t="s">
        <v>889</v>
      </c>
      <c r="AJ146" s="38" t="s">
        <v>890</v>
      </c>
      <c r="AK146" s="38" t="s">
        <v>891</v>
      </c>
      <c r="AL146" s="38" t="s">
        <v>892</v>
      </c>
      <c r="AM146" s="38" t="s">
        <v>893</v>
      </c>
      <c r="AN146" s="38" t="s">
        <v>894</v>
      </c>
      <c r="AO146" s="38" t="s">
        <v>1016</v>
      </c>
    </row>
    <row r="147" spans="2:41" x14ac:dyDescent="0.25">
      <c r="B147" s="476" t="s">
        <v>17</v>
      </c>
      <c r="C147" s="128" t="s">
        <v>1019</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76" t="s">
        <v>17</v>
      </c>
      <c r="X147" s="128" t="s">
        <v>1019</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25">
      <c r="B148" s="477"/>
      <c r="C148" s="129" t="s">
        <v>1024</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77"/>
      <c r="X148" s="129" t="s">
        <v>1024</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25">
      <c r="B149" s="477"/>
      <c r="C149" s="129" t="s">
        <v>1025</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77"/>
      <c r="X149" s="129" t="s">
        <v>1025</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25">
      <c r="B150" s="477"/>
      <c r="C150" s="129" t="s">
        <v>1026</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77"/>
      <c r="X150" s="129" t="s">
        <v>1026</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25">
      <c r="B151" s="478"/>
      <c r="C151" s="130" t="s">
        <v>1370</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78"/>
      <c r="X151" s="130" t="s">
        <v>1370</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25">
      <c r="B152" s="476" t="s">
        <v>18</v>
      </c>
      <c r="C152" s="128" t="s">
        <v>1019</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76" t="s">
        <v>18</v>
      </c>
      <c r="X152" s="128" t="s">
        <v>1019</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25">
      <c r="B153" s="477"/>
      <c r="C153" s="129" t="s">
        <v>1024</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77"/>
      <c r="X153" s="129" t="s">
        <v>1024</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25">
      <c r="B154" s="477"/>
      <c r="C154" s="129" t="s">
        <v>1025</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77"/>
      <c r="X154" s="129" t="s">
        <v>1025</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25">
      <c r="B155" s="477"/>
      <c r="C155" s="129" t="s">
        <v>1026</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77"/>
      <c r="X155" s="129" t="s">
        <v>1026</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25">
      <c r="B156" s="478"/>
      <c r="C156" s="130" t="s">
        <v>1370</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78"/>
      <c r="X156" s="130" t="s">
        <v>1370</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25">
      <c r="B157" s="476" t="s">
        <v>19</v>
      </c>
      <c r="C157" s="128" t="s">
        <v>1019</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76" t="s">
        <v>19</v>
      </c>
      <c r="X157" s="128" t="s">
        <v>1019</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25">
      <c r="B158" s="477"/>
      <c r="C158" s="129" t="s">
        <v>1024</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77"/>
      <c r="X158" s="129" t="s">
        <v>1024</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25">
      <c r="B159" s="477"/>
      <c r="C159" s="129" t="s">
        <v>1025</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77"/>
      <c r="X159" s="129" t="s">
        <v>1025</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25">
      <c r="B160" s="477"/>
      <c r="C160" s="129" t="s">
        <v>1026</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77"/>
      <c r="X160" s="129" t="s">
        <v>1026</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25">
      <c r="B161" s="478"/>
      <c r="C161" s="130" t="s">
        <v>1370</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78"/>
      <c r="X161" s="130" t="s">
        <v>1370</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25">
      <c r="B162" s="476" t="s">
        <v>20</v>
      </c>
      <c r="C162" s="128" t="s">
        <v>1019</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76" t="s">
        <v>20</v>
      </c>
      <c r="X162" s="128" t="s">
        <v>1019</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25">
      <c r="B163" s="477"/>
      <c r="C163" s="129" t="s">
        <v>1024</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77"/>
      <c r="X163" s="129" t="s">
        <v>1024</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25">
      <c r="B164" s="477"/>
      <c r="C164" s="129" t="s">
        <v>1025</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77"/>
      <c r="X164" s="129" t="s">
        <v>1025</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25">
      <c r="B165" s="477"/>
      <c r="C165" s="129" t="s">
        <v>1026</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77"/>
      <c r="X165" s="129" t="s">
        <v>1026</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25">
      <c r="B166" s="478"/>
      <c r="C166" s="130" t="s">
        <v>1370</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78"/>
      <c r="X166" s="130" t="s">
        <v>1370</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25">
      <c r="B167" s="476" t="s">
        <v>21</v>
      </c>
      <c r="C167" s="128" t="s">
        <v>1019</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76" t="s">
        <v>21</v>
      </c>
      <c r="X167" s="128" t="s">
        <v>1019</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25">
      <c r="B168" s="477"/>
      <c r="C168" s="129" t="s">
        <v>1024</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77"/>
      <c r="X168" s="129" t="s">
        <v>1024</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25">
      <c r="B169" s="477"/>
      <c r="C169" s="129" t="s">
        <v>1025</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77"/>
      <c r="X169" s="129" t="s">
        <v>1025</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25">
      <c r="B170" s="477"/>
      <c r="C170" s="129" t="s">
        <v>1026</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77"/>
      <c r="X170" s="129" t="s">
        <v>1026</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25">
      <c r="B171" s="478"/>
      <c r="C171" s="130" t="s">
        <v>1370</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78"/>
      <c r="X171" s="130" t="s">
        <v>1370</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25">
      <c r="B172" s="476" t="s">
        <v>22</v>
      </c>
      <c r="C172" s="128" t="s">
        <v>1019</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76" t="s">
        <v>22</v>
      </c>
      <c r="X172" s="128" t="s">
        <v>1019</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25">
      <c r="B173" s="477"/>
      <c r="C173" s="129" t="s">
        <v>1024</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77"/>
      <c r="X173" s="129" t="s">
        <v>1024</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25">
      <c r="B174" s="477"/>
      <c r="C174" s="129" t="s">
        <v>1025</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77"/>
      <c r="X174" s="129" t="s">
        <v>1025</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25">
      <c r="B175" s="477"/>
      <c r="C175" s="129" t="s">
        <v>1026</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77"/>
      <c r="X175" s="129" t="s">
        <v>1026</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25">
      <c r="B176" s="478"/>
      <c r="C176" s="130" t="s">
        <v>1370</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78"/>
      <c r="X176" s="130" t="s">
        <v>1370</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25">
      <c r="B177" s="476" t="s">
        <v>23</v>
      </c>
      <c r="C177" s="128" t="s">
        <v>1019</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76" t="s">
        <v>23</v>
      </c>
      <c r="X177" s="128" t="s">
        <v>1019</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25">
      <c r="B178" s="477"/>
      <c r="C178" s="129" t="s">
        <v>1024</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77"/>
      <c r="X178" s="129" t="s">
        <v>1024</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25">
      <c r="B179" s="477"/>
      <c r="C179" s="129" t="s">
        <v>1025</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77"/>
      <c r="X179" s="129" t="s">
        <v>1025</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25">
      <c r="B180" s="477"/>
      <c r="C180" s="129" t="s">
        <v>1026</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77"/>
      <c r="X180" s="129" t="s">
        <v>1026</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25">
      <c r="B181" s="478"/>
      <c r="C181" s="130" t="s">
        <v>1370</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78"/>
      <c r="X181" s="130" t="s">
        <v>1370</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25">
      <c r="B182" s="476" t="s">
        <v>24</v>
      </c>
      <c r="C182" s="128" t="s">
        <v>1019</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76" t="s">
        <v>24</v>
      </c>
      <c r="X182" s="128" t="s">
        <v>1019</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25">
      <c r="B183" s="477"/>
      <c r="C183" s="129" t="s">
        <v>1024</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77"/>
      <c r="X183" s="129" t="s">
        <v>1024</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25">
      <c r="B184" s="477"/>
      <c r="C184" s="129" t="s">
        <v>1025</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77"/>
      <c r="X184" s="129" t="s">
        <v>1025</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25">
      <c r="B185" s="477"/>
      <c r="C185" s="129" t="s">
        <v>1026</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77"/>
      <c r="X185" s="129" t="s">
        <v>1026</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25">
      <c r="B186" s="478"/>
      <c r="C186" s="130" t="s">
        <v>1370</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78"/>
      <c r="X186" s="130" t="s">
        <v>1370</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25">
      <c r="B187" s="476" t="s">
        <v>25</v>
      </c>
      <c r="C187" s="128" t="s">
        <v>1019</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76" t="s">
        <v>25</v>
      </c>
      <c r="X187" s="128" t="s">
        <v>1019</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25">
      <c r="B188" s="477"/>
      <c r="C188" s="129" t="s">
        <v>1024</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77"/>
      <c r="X188" s="129" t="s">
        <v>1024</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25">
      <c r="B189" s="477"/>
      <c r="C189" s="129" t="s">
        <v>1025</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77"/>
      <c r="X189" s="129" t="s">
        <v>1025</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25">
      <c r="B190" s="477"/>
      <c r="C190" s="129" t="s">
        <v>1026</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77"/>
      <c r="X190" s="129" t="s">
        <v>1026</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25">
      <c r="B191" s="478"/>
      <c r="C191" s="130" t="s">
        <v>1370</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78"/>
      <c r="X191" s="130" t="s">
        <v>1370</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25">
      <c r="B192" s="476" t="s">
        <v>26</v>
      </c>
      <c r="C192" s="128" t="s">
        <v>1019</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76" t="s">
        <v>26</v>
      </c>
      <c r="X192" s="128" t="s">
        <v>1019</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25">
      <c r="B193" s="477"/>
      <c r="C193" s="129" t="s">
        <v>1024</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77"/>
      <c r="X193" s="129" t="s">
        <v>1024</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25">
      <c r="B194" s="477"/>
      <c r="C194" s="129" t="s">
        <v>1025</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77"/>
      <c r="X194" s="129" t="s">
        <v>1025</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25">
      <c r="B195" s="477"/>
      <c r="C195" s="129" t="s">
        <v>1026</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77"/>
      <c r="X195" s="129" t="s">
        <v>1026</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25">
      <c r="B196" s="478"/>
      <c r="C196" s="130" t="s">
        <v>1370</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78"/>
      <c r="X196" s="130" t="s">
        <v>1370</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25">
      <c r="B197" s="476" t="s">
        <v>27</v>
      </c>
      <c r="C197" s="128" t="s">
        <v>1019</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76" t="s">
        <v>27</v>
      </c>
      <c r="X197" s="128" t="s">
        <v>1019</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25">
      <c r="B198" s="477"/>
      <c r="C198" s="129" t="s">
        <v>1024</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77"/>
      <c r="X198" s="129" t="s">
        <v>1024</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25">
      <c r="B199" s="477"/>
      <c r="C199" s="129" t="s">
        <v>1025</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77"/>
      <c r="X199" s="129" t="s">
        <v>1025</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25">
      <c r="B200" s="477"/>
      <c r="C200" s="129" t="s">
        <v>1026</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77"/>
      <c r="X200" s="129" t="s">
        <v>1026</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25">
      <c r="B201" s="478"/>
      <c r="C201" s="130" t="s">
        <v>1370</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78"/>
      <c r="X201" s="130" t="s">
        <v>1370</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25">
      <c r="B202" s="476" t="s">
        <v>28</v>
      </c>
      <c r="C202" s="128" t="s">
        <v>1019</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76" t="s">
        <v>28</v>
      </c>
      <c r="X202" s="128" t="s">
        <v>1019</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25">
      <c r="B203" s="477"/>
      <c r="C203" s="129" t="s">
        <v>1024</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77"/>
      <c r="X203" s="129" t="s">
        <v>1024</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25">
      <c r="B204" s="477"/>
      <c r="C204" s="129" t="s">
        <v>1025</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77"/>
      <c r="X204" s="129" t="s">
        <v>1025</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25">
      <c r="B205" s="477"/>
      <c r="C205" s="129" t="s">
        <v>1026</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77"/>
      <c r="X205" s="129" t="s">
        <v>1026</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75" thickBot="1" x14ac:dyDescent="0.3">
      <c r="B206" s="477"/>
      <c r="C206" s="129" t="s">
        <v>1370</v>
      </c>
      <c r="D206" s="385">
        <f>SUMIFS('caseload data'!E:E,'caseload data'!$D:$D,"DMY",'caseload data'!$A:$A,"Yorkshire and The Humber",'caseload data'!$B:$B,"custody")</f>
        <v>0</v>
      </c>
      <c r="E206" s="385">
        <f>SUMIFS('caseload data'!F:F,'caseload data'!$D:$D,"DMY",'caseload data'!$A:$A,"Yorkshire and The Humber",'caseload data'!$B:$B,"custody")</f>
        <v>0</v>
      </c>
      <c r="F206" s="385">
        <f>SUMIFS('caseload data'!G:G,'caseload data'!$D:$D,"DMY",'caseload data'!$A:$A,"Yorkshire and The Humber",'caseload data'!$B:$B,"custody")</f>
        <v>0</v>
      </c>
      <c r="G206" s="385">
        <f>SUMIFS('caseload data'!H:H,'caseload data'!$D:$D,"DMY",'caseload data'!$A:$A,"Yorkshire and The Humber",'caseload data'!$B:$B,"custody")</f>
        <v>0</v>
      </c>
      <c r="H206" s="385">
        <f>SUMIFS('caseload data'!I:I,'caseload data'!$D:$D,"DMY",'caseload data'!$A:$A,"Yorkshire and The Humber",'caseload data'!$B:$B,"custody")</f>
        <v>0</v>
      </c>
      <c r="I206" s="385">
        <f>SUMIFS('caseload data'!J:J,'caseload data'!$D:$D,"DMY",'caseload data'!$A:$A,"Yorkshire and The Humber",'caseload data'!$B:$B,"custody")</f>
        <v>0</v>
      </c>
      <c r="J206" s="385">
        <f>SUMIFS('caseload data'!K:K,'caseload data'!$D:$D,"DMY",'caseload data'!$A:$A,"Yorkshire and The Humber",'caseload data'!$B:$B,"custody")</f>
        <v>0</v>
      </c>
      <c r="K206" s="385">
        <f>SUMIFS('caseload data'!L:L,'caseload data'!$D:$D,"DMY",'caseload data'!$A:$A,"Yorkshire and The Humber",'caseload data'!$B:$B,"custody")</f>
        <v>0</v>
      </c>
      <c r="L206" s="385">
        <f>SUMIFS('caseload data'!M:M,'caseload data'!$D:$D,"DMY",'caseload data'!$A:$A,"Yorkshire and The Humber",'caseload data'!$B:$B,"custody")</f>
        <v>0</v>
      </c>
      <c r="M206" s="385">
        <f>SUMIFS('caseload data'!N:N,'caseload data'!$D:$D,"DMY",'caseload data'!$A:$A,"Yorkshire and The Humber",'caseload data'!$B:$B,"custody")</f>
        <v>0</v>
      </c>
      <c r="N206" s="385">
        <f>SUMIFS('caseload data'!O:O,'caseload data'!$D:$D,"DMY",'caseload data'!$A:$A,"Yorkshire and The Humber",'caseload data'!$B:$B,"custody")</f>
        <v>0</v>
      </c>
      <c r="O206" s="385">
        <f>SUMIFS('caseload data'!P:P,'caseload data'!$D:$D,"DMY",'caseload data'!$A:$A,"Yorkshire and The Humber",'caseload data'!$B:$B,"custody")</f>
        <v>0</v>
      </c>
      <c r="P206" s="385">
        <f>SUMIFS('caseload data'!Q:Q,'caseload data'!$D:$D,"DMY",'caseload data'!$A:$A,"Yorkshire and The Humber",'caseload data'!$B:$B,"custody")</f>
        <v>0</v>
      </c>
      <c r="Q206" s="385">
        <f>SUMIFS('caseload data'!R:R,'caseload data'!$D:$D,"DMY",'caseload data'!$A:$A,"Yorkshire and The Humber",'caseload data'!$B:$B,"custody")</f>
        <v>0</v>
      </c>
      <c r="R206" s="385">
        <f>SUMIFS('caseload data'!S:S,'caseload data'!$D:$D,"DMY",'caseload data'!$A:$A,"Yorkshire and The Humber",'caseload data'!$B:$B,"custody")</f>
        <v>0</v>
      </c>
      <c r="S206" s="385">
        <f>SUMIFS('caseload data'!T:T,'caseload data'!$D:$D,"DMY",'caseload data'!$A:$A,"Yorkshire and The Humber",'caseload data'!$B:$B,"custody")</f>
        <v>0</v>
      </c>
      <c r="T206" s="385">
        <f>SUMIFS('caseload data'!V:V,'caseload data'!$D:$D,"DMY",'caseload data'!$A:$A,"Yorkshire and The Humber",'caseload data'!$B:$B,"custody")</f>
        <v>0</v>
      </c>
      <c r="U206" s="64"/>
      <c r="V206" s="64"/>
      <c r="W206" s="477"/>
      <c r="X206" s="129" t="s">
        <v>1370</v>
      </c>
      <c r="Y206" s="381" t="e">
        <f t="shared" si="107"/>
        <v>#DIV/0!</v>
      </c>
      <c r="Z206" s="381" t="e">
        <f t="shared" si="106"/>
        <v>#DIV/0!</v>
      </c>
      <c r="AA206" s="381" t="e">
        <f t="shared" si="106"/>
        <v>#DIV/0!</v>
      </c>
      <c r="AB206" s="381" t="e">
        <f t="shared" si="106"/>
        <v>#DIV/0!</v>
      </c>
      <c r="AC206" s="381" t="e">
        <f t="shared" si="106"/>
        <v>#DIV/0!</v>
      </c>
      <c r="AD206" s="381" t="e">
        <f t="shared" si="106"/>
        <v>#DIV/0!</v>
      </c>
      <c r="AE206" s="381" t="e">
        <f t="shared" si="106"/>
        <v>#DIV/0!</v>
      </c>
      <c r="AF206" s="381" t="e">
        <f t="shared" si="106"/>
        <v>#DIV/0!</v>
      </c>
      <c r="AG206" s="381" t="e">
        <f t="shared" si="106"/>
        <v>#DIV/0!</v>
      </c>
      <c r="AH206" s="381" t="e">
        <f t="shared" si="106"/>
        <v>#DIV/0!</v>
      </c>
      <c r="AI206" s="381" t="e">
        <f t="shared" si="106"/>
        <v>#DIV/0!</v>
      </c>
      <c r="AJ206" s="381" t="e">
        <f t="shared" si="106"/>
        <v>#DIV/0!</v>
      </c>
      <c r="AK206" s="381" t="e">
        <f t="shared" si="106"/>
        <v>#DIV/0!</v>
      </c>
      <c r="AL206" s="381" t="e">
        <f t="shared" si="106"/>
        <v>#DIV/0!</v>
      </c>
      <c r="AM206" s="381" t="e">
        <f t="shared" si="106"/>
        <v>#DIV/0!</v>
      </c>
      <c r="AN206" s="381" t="e">
        <f t="shared" si="106"/>
        <v>#DIV/0!</v>
      </c>
      <c r="AO206" s="381" t="e">
        <f t="shared" si="106"/>
        <v>#DIV/0!</v>
      </c>
    </row>
    <row r="207" spans="2:41" x14ac:dyDescent="0.25">
      <c r="B207" s="500" t="s">
        <v>981</v>
      </c>
      <c r="C207" s="386" t="s">
        <v>1019</v>
      </c>
      <c r="D207" s="387">
        <f>SUMIFS('caseload data'!E:E,'caseload data'!$D:$D,"PO",'caseload data'!$B:$B,"custody")</f>
        <v>0</v>
      </c>
      <c r="E207" s="387">
        <f>SUMIFS('caseload data'!F:F,'caseload data'!$D:$D,"PO",'caseload data'!$B:$B,"custody")</f>
        <v>0</v>
      </c>
      <c r="F207" s="387">
        <f>SUMIFS('caseload data'!G:G,'caseload data'!$D:$D,"PO",'caseload data'!$B:$B,"custody")</f>
        <v>0</v>
      </c>
      <c r="G207" s="387">
        <f>SUMIFS('caseload data'!H:H,'caseload data'!$D:$D,"PO",'caseload data'!$B:$B,"custody")</f>
        <v>0</v>
      </c>
      <c r="H207" s="387">
        <f>SUMIFS('caseload data'!I:I,'caseload data'!$D:$D,"PO",'caseload data'!$B:$B,"custody")</f>
        <v>0</v>
      </c>
      <c r="I207" s="387">
        <f>SUMIFS('caseload data'!J:J,'caseload data'!$D:$D,"PO",'caseload data'!$B:$B,"custody")</f>
        <v>0</v>
      </c>
      <c r="J207" s="387">
        <f>SUMIFS('caseload data'!K:K,'caseload data'!$D:$D,"PO",'caseload data'!$B:$B,"custody")</f>
        <v>0</v>
      </c>
      <c r="K207" s="387">
        <f>SUMIFS('caseload data'!L:L,'caseload data'!$D:$D,"PO",'caseload data'!$B:$B,"custody")</f>
        <v>0</v>
      </c>
      <c r="L207" s="387">
        <f>SUMIFS('caseload data'!M:M,'caseload data'!$D:$D,"PO",'caseload data'!$B:$B,"custody")</f>
        <v>0</v>
      </c>
      <c r="M207" s="387">
        <f>SUMIFS('caseload data'!N:N,'caseload data'!$D:$D,"PO",'caseload data'!$B:$B,"custody")</f>
        <v>0</v>
      </c>
      <c r="N207" s="387">
        <f>SUMIFS('caseload data'!O:O,'caseload data'!$D:$D,"PO",'caseload data'!$B:$B,"custody")</f>
        <v>0</v>
      </c>
      <c r="O207" s="387">
        <f>SUMIFS('caseload data'!P:P,'caseload data'!$D:$D,"PO",'caseload data'!$B:$B,"custody")</f>
        <v>0</v>
      </c>
      <c r="P207" s="387">
        <f>SUMIFS('caseload data'!Q:Q,'caseload data'!$D:$D,"PO",'caseload data'!$B:$B,"custody")</f>
        <v>0</v>
      </c>
      <c r="Q207" s="387">
        <f>SUMIFS('caseload data'!R:R,'caseload data'!$D:$D,"PO",'caseload data'!$B:$B,"custody")</f>
        <v>0</v>
      </c>
      <c r="R207" s="387">
        <f>SUMIFS('caseload data'!S:S,'caseload data'!$D:$D,"PO",'caseload data'!$B:$B,"custody")</f>
        <v>0</v>
      </c>
      <c r="S207" s="387">
        <f>SUMIFS('caseload data'!T:T,'caseload data'!$D:$D,"PO",'caseload data'!$B:$B,"custody")</f>
        <v>0</v>
      </c>
      <c r="T207" s="388">
        <f>SUMIFS('caseload data'!V:V,'caseload data'!D:D,"PO",'caseload data'!B:B,"custody")</f>
        <v>0</v>
      </c>
      <c r="U207" s="64"/>
      <c r="V207" s="64"/>
      <c r="W207" s="503" t="s">
        <v>981</v>
      </c>
      <c r="X207" s="397" t="s">
        <v>1019</v>
      </c>
      <c r="Y207" s="399" t="e">
        <f>SUM(D207)/SUM(D$207:D$211)</f>
        <v>#DIV/0!</v>
      </c>
      <c r="Z207" s="399" t="e">
        <f t="shared" ref="Z207:AO211" si="108">SUM(E207)/SUM(E$207:E$211)</f>
        <v>#DIV/0!</v>
      </c>
      <c r="AA207" s="399" t="e">
        <f t="shared" si="108"/>
        <v>#DIV/0!</v>
      </c>
      <c r="AB207" s="399" t="e">
        <f t="shared" si="108"/>
        <v>#DIV/0!</v>
      </c>
      <c r="AC207" s="399" t="e">
        <f t="shared" si="108"/>
        <v>#DIV/0!</v>
      </c>
      <c r="AD207" s="399" t="e">
        <f t="shared" si="108"/>
        <v>#DIV/0!</v>
      </c>
      <c r="AE207" s="399" t="e">
        <f t="shared" si="108"/>
        <v>#DIV/0!</v>
      </c>
      <c r="AF207" s="399" t="e">
        <f t="shared" si="108"/>
        <v>#DIV/0!</v>
      </c>
      <c r="AG207" s="399" t="e">
        <f t="shared" si="108"/>
        <v>#DIV/0!</v>
      </c>
      <c r="AH207" s="399" t="e">
        <f t="shared" si="108"/>
        <v>#DIV/0!</v>
      </c>
      <c r="AI207" s="399" t="e">
        <f t="shared" si="108"/>
        <v>#DIV/0!</v>
      </c>
      <c r="AJ207" s="399" t="e">
        <f t="shared" si="108"/>
        <v>#DIV/0!</v>
      </c>
      <c r="AK207" s="399" t="e">
        <f t="shared" si="108"/>
        <v>#DIV/0!</v>
      </c>
      <c r="AL207" s="399" t="e">
        <f t="shared" si="108"/>
        <v>#DIV/0!</v>
      </c>
      <c r="AM207" s="399" t="e">
        <f t="shared" si="108"/>
        <v>#DIV/0!</v>
      </c>
      <c r="AN207" s="399" t="e">
        <f t="shared" si="108"/>
        <v>#DIV/0!</v>
      </c>
      <c r="AO207" s="401" t="e">
        <f t="shared" si="108"/>
        <v>#DIV/0!</v>
      </c>
    </row>
    <row r="208" spans="2:41" x14ac:dyDescent="0.25">
      <c r="B208" s="501"/>
      <c r="C208" s="137" t="s">
        <v>1024</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9">
        <f>SUMIFS('caseload data'!V:V,'caseload data'!D:D,"PSO",'caseload data'!B:B,"custody")</f>
        <v>0</v>
      </c>
      <c r="U208" s="64"/>
      <c r="V208" s="64"/>
      <c r="W208" s="504"/>
      <c r="X208" s="380" t="s">
        <v>1024</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402" t="e">
        <f t="shared" si="108"/>
        <v>#DIV/0!</v>
      </c>
    </row>
    <row r="209" spans="2:41" x14ac:dyDescent="0.25">
      <c r="B209" s="501"/>
      <c r="C209" s="137" t="s">
        <v>1025</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9">
        <f>SUMIFS('caseload data'!V:V,'caseload data'!D:D,"TPO",'caseload data'!B:B,"custody")</f>
        <v>0</v>
      </c>
      <c r="U209" s="64"/>
      <c r="V209" s="64"/>
      <c r="W209" s="504"/>
      <c r="X209" s="380" t="s">
        <v>1025</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402" t="e">
        <f t="shared" si="108"/>
        <v>#DIV/0!</v>
      </c>
    </row>
    <row r="210" spans="2:41" x14ac:dyDescent="0.25">
      <c r="B210" s="501"/>
      <c r="C210" s="137" t="s">
        <v>1026</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9">
        <f>SUMIFS('caseload data'!V:V,'caseload data'!$D:$D,"SPO",'caseload data'!$B:$B,"custody")</f>
        <v>0</v>
      </c>
      <c r="U210" s="64"/>
      <c r="V210" s="64"/>
      <c r="W210" s="504"/>
      <c r="X210" s="380" t="s">
        <v>1026</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402" t="e">
        <f t="shared" si="108"/>
        <v>#DIV/0!</v>
      </c>
    </row>
    <row r="211" spans="2:41" ht="15.75" thickBot="1" x14ac:dyDescent="0.3">
      <c r="B211" s="501"/>
      <c r="C211" s="137" t="s">
        <v>1370</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9">
        <f>SUMIFS('caseload data'!V:V,'caseload data'!$D:$D,"DMY",'caseload data'!$B:$B,"custody")</f>
        <v>0</v>
      </c>
      <c r="U211" s="64"/>
      <c r="V211" s="64"/>
      <c r="W211" s="505"/>
      <c r="X211" s="398" t="s">
        <v>1370</v>
      </c>
      <c r="Y211" s="400" t="e">
        <f t="shared" si="109"/>
        <v>#DIV/0!</v>
      </c>
      <c r="Z211" s="400" t="e">
        <f t="shared" si="108"/>
        <v>#DIV/0!</v>
      </c>
      <c r="AA211" s="400" t="e">
        <f t="shared" si="108"/>
        <v>#DIV/0!</v>
      </c>
      <c r="AB211" s="400" t="e">
        <f t="shared" si="108"/>
        <v>#DIV/0!</v>
      </c>
      <c r="AC211" s="400" t="e">
        <f t="shared" si="108"/>
        <v>#DIV/0!</v>
      </c>
      <c r="AD211" s="400" t="e">
        <f t="shared" si="108"/>
        <v>#DIV/0!</v>
      </c>
      <c r="AE211" s="400" t="e">
        <f t="shared" si="108"/>
        <v>#DIV/0!</v>
      </c>
      <c r="AF211" s="400" t="e">
        <f t="shared" si="108"/>
        <v>#DIV/0!</v>
      </c>
      <c r="AG211" s="400" t="e">
        <f t="shared" si="108"/>
        <v>#DIV/0!</v>
      </c>
      <c r="AH211" s="400" t="e">
        <f t="shared" si="108"/>
        <v>#DIV/0!</v>
      </c>
      <c r="AI211" s="400" t="e">
        <f t="shared" si="108"/>
        <v>#DIV/0!</v>
      </c>
      <c r="AJ211" s="400" t="e">
        <f t="shared" si="108"/>
        <v>#DIV/0!</v>
      </c>
      <c r="AK211" s="400" t="e">
        <f t="shared" si="108"/>
        <v>#DIV/0!</v>
      </c>
      <c r="AL211" s="400" t="e">
        <f t="shared" si="108"/>
        <v>#DIV/0!</v>
      </c>
      <c r="AM211" s="400" t="e">
        <f t="shared" si="108"/>
        <v>#DIV/0!</v>
      </c>
      <c r="AN211" s="400" t="e">
        <f t="shared" si="108"/>
        <v>#DIV/0!</v>
      </c>
      <c r="AO211" s="403" t="e">
        <f t="shared" si="108"/>
        <v>#DIV/0!</v>
      </c>
    </row>
    <row r="212" spans="2:41" ht="31.5" customHeight="1" thickBot="1" x14ac:dyDescent="0.3">
      <c r="B212" s="502"/>
      <c r="C212" s="390" t="s">
        <v>1106</v>
      </c>
      <c r="D212" s="391">
        <f>SUMIF('caseload data'!$B:$B,"custody",'caseload data'!E:E)</f>
        <v>0</v>
      </c>
      <c r="E212" s="391">
        <f>SUMIF('caseload data'!$B:$B,"custody",'caseload data'!F:F)</f>
        <v>0</v>
      </c>
      <c r="F212" s="391">
        <f>SUMIF('caseload data'!$B:$B,"custody",'caseload data'!G:G)</f>
        <v>0</v>
      </c>
      <c r="G212" s="391">
        <f>SUMIF('caseload data'!$B:$B,"custody",'caseload data'!H:H)</f>
        <v>0</v>
      </c>
      <c r="H212" s="391">
        <f>SUMIF('caseload data'!$B:$B,"custody",'caseload data'!I:I)</f>
        <v>0</v>
      </c>
      <c r="I212" s="391">
        <f>SUMIF('caseload data'!$B:$B,"custody",'caseload data'!J:J)</f>
        <v>0</v>
      </c>
      <c r="J212" s="391">
        <f>SUMIF('caseload data'!$B:$B,"custody",'caseload data'!K:K)</f>
        <v>0</v>
      </c>
      <c r="K212" s="391">
        <f>SUMIF('caseload data'!$B:$B,"custody",'caseload data'!L:L)</f>
        <v>0</v>
      </c>
      <c r="L212" s="391">
        <f>SUMIF('caseload data'!$B:$B,"custody",'caseload data'!M:M)</f>
        <v>0</v>
      </c>
      <c r="M212" s="391">
        <f>SUMIF('caseload data'!$B:$B,"custody",'caseload data'!N:N)</f>
        <v>0</v>
      </c>
      <c r="N212" s="391">
        <f>SUMIF('caseload data'!$B:$B,"custody",'caseload data'!O:O)</f>
        <v>0</v>
      </c>
      <c r="O212" s="391">
        <f>SUMIF('caseload data'!$B:$B,"custody",'caseload data'!P:P)</f>
        <v>0</v>
      </c>
      <c r="P212" s="391">
        <f>SUMIF('caseload data'!$B:$B,"custody",'caseload data'!Q:Q)</f>
        <v>0</v>
      </c>
      <c r="Q212" s="391">
        <f>SUMIF('caseload data'!$B:$B,"custody",'caseload data'!R:R)</f>
        <v>0</v>
      </c>
      <c r="R212" s="391">
        <f>SUMIF('caseload data'!$B:$B,"custody",'caseload data'!S:S)</f>
        <v>0</v>
      </c>
      <c r="S212" s="391">
        <f>SUMIF('caseload data'!$B:$B,"custody",'caseload data'!T:T)</f>
        <v>0</v>
      </c>
      <c r="T212" s="392">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9" priority="4272" operator="equal">
      <formula>0</formula>
    </cfRule>
  </conditionalFormatting>
  <conditionalFormatting sqref="T150:T151 T155:T156 T160:T161 T170:T171 T195:T196 T200:T201 T205:T206 T210:T211">
    <cfRule type="cellIs" dxfId="5898" priority="4271" operator="equal">
      <formula>0</formula>
    </cfRule>
  </conditionalFormatting>
  <conditionalFormatting sqref="T80:T81 T105:T106 T110:T111 D140:T141">
    <cfRule type="cellIs" dxfId="5897" priority="4270" operator="equal">
      <formula>0</formula>
    </cfRule>
  </conditionalFormatting>
  <conditionalFormatting sqref="T10">
    <cfRule type="cellIs" dxfId="5896" priority="4253" operator="equal">
      <formula>0</formula>
    </cfRule>
  </conditionalFormatting>
  <conditionalFormatting sqref="T20:T21">
    <cfRule type="cellIs" dxfId="5895" priority="4236" operator="equal">
      <formula>0</formula>
    </cfRule>
  </conditionalFormatting>
  <conditionalFormatting sqref="T25:T26">
    <cfRule type="cellIs" dxfId="5894" priority="4219" operator="equal">
      <formula>0</formula>
    </cfRule>
  </conditionalFormatting>
  <conditionalFormatting sqref="T30:T31">
    <cfRule type="cellIs" dxfId="5893" priority="4202" operator="equal">
      <formula>0</formula>
    </cfRule>
  </conditionalFormatting>
  <conditionalFormatting sqref="T60:T61">
    <cfRule type="cellIs" dxfId="5892" priority="4191" operator="equal">
      <formula>0</formula>
    </cfRule>
  </conditionalFormatting>
  <conditionalFormatting sqref="T65:T66">
    <cfRule type="cellIs" dxfId="5891" priority="4180" operator="equal">
      <formula>0</formula>
    </cfRule>
  </conditionalFormatting>
  <conditionalFormatting sqref="T85:T86">
    <cfRule type="cellIs" dxfId="5890" priority="4165" operator="equal">
      <formula>0</formula>
    </cfRule>
  </conditionalFormatting>
  <conditionalFormatting sqref="T90:T91">
    <cfRule type="cellIs" dxfId="5889" priority="4150" operator="equal">
      <formula>0</formula>
    </cfRule>
  </conditionalFormatting>
  <conditionalFormatting sqref="T95:T96">
    <cfRule type="cellIs" dxfId="5888" priority="4135" operator="equal">
      <formula>0</formula>
    </cfRule>
  </conditionalFormatting>
  <conditionalFormatting sqref="T100:T101">
    <cfRule type="cellIs" dxfId="5887" priority="4120" operator="equal">
      <formula>0</formula>
    </cfRule>
  </conditionalFormatting>
  <conditionalFormatting sqref="T175:T176">
    <cfRule type="cellIs" dxfId="5886" priority="4105" operator="equal">
      <formula>0</formula>
    </cfRule>
  </conditionalFormatting>
  <conditionalFormatting sqref="T165:T166">
    <cfRule type="cellIs" dxfId="5885" priority="4090" operator="equal">
      <formula>0</formula>
    </cfRule>
  </conditionalFormatting>
  <conditionalFormatting sqref="T190:T191">
    <cfRule type="cellIs" dxfId="5884" priority="4075" operator="equal">
      <formula>0</formula>
    </cfRule>
  </conditionalFormatting>
  <conditionalFormatting sqref="T180:T181">
    <cfRule type="cellIs" dxfId="5883" priority="4060" operator="equal">
      <formula>0</formula>
    </cfRule>
  </conditionalFormatting>
  <conditionalFormatting sqref="T135:T136">
    <cfRule type="cellIs" dxfId="5882" priority="4030" operator="equal">
      <formula>0</formula>
    </cfRule>
  </conditionalFormatting>
  <conditionalFormatting sqref="T45:T46">
    <cfRule type="cellIs" dxfId="5881" priority="4019" operator="equal">
      <formula>0</formula>
    </cfRule>
  </conditionalFormatting>
  <conditionalFormatting sqref="N20">
    <cfRule type="cellIs" dxfId="5880" priority="3880" operator="equal">
      <formula>0</formula>
    </cfRule>
  </conditionalFormatting>
  <conditionalFormatting sqref="T185:T186">
    <cfRule type="cellIs" dxfId="5879" priority="3992" operator="equal">
      <formula>0</formula>
    </cfRule>
  </conditionalFormatting>
  <conditionalFormatting sqref="D8:D9">
    <cfRule type="cellIs" dxfId="5878" priority="3985" operator="equal">
      <formula>0</formula>
    </cfRule>
    <cfRule type="cellIs" dxfId="5877" priority="3986" operator="notEqual">
      <formula>0</formula>
    </cfRule>
  </conditionalFormatting>
  <conditionalFormatting sqref="D10">
    <cfRule type="cellIs" dxfId="5876" priority="3984" operator="equal">
      <formula>0</formula>
    </cfRule>
  </conditionalFormatting>
  <conditionalFormatting sqref="E8:E9">
    <cfRule type="cellIs" dxfId="5875" priority="3982" operator="equal">
      <formula>0</formula>
    </cfRule>
    <cfRule type="cellIs" dxfId="5874" priority="3983" operator="notEqual">
      <formula>0</formula>
    </cfRule>
  </conditionalFormatting>
  <conditionalFormatting sqref="E10">
    <cfRule type="cellIs" dxfId="5873" priority="3981" operator="equal">
      <formula>0</formula>
    </cfRule>
  </conditionalFormatting>
  <conditionalFormatting sqref="F8:F9">
    <cfRule type="cellIs" dxfId="5872" priority="3979" operator="equal">
      <formula>0</formula>
    </cfRule>
    <cfRule type="cellIs" dxfId="5871" priority="3980" operator="notEqual">
      <formula>0</formula>
    </cfRule>
  </conditionalFormatting>
  <conditionalFormatting sqref="F10">
    <cfRule type="cellIs" dxfId="5870" priority="3978" operator="equal">
      <formula>0</formula>
    </cfRule>
  </conditionalFormatting>
  <conditionalFormatting sqref="G8:G9">
    <cfRule type="cellIs" dxfId="5869" priority="3976" operator="equal">
      <formula>0</formula>
    </cfRule>
    <cfRule type="cellIs" dxfId="5868" priority="3977" operator="notEqual">
      <formula>0</formula>
    </cfRule>
  </conditionalFormatting>
  <conditionalFormatting sqref="G10">
    <cfRule type="cellIs" dxfId="5867" priority="3975" operator="equal">
      <formula>0</formula>
    </cfRule>
  </conditionalFormatting>
  <conditionalFormatting sqref="H8:H9">
    <cfRule type="cellIs" dxfId="5866" priority="3973" operator="equal">
      <formula>0</formula>
    </cfRule>
    <cfRule type="cellIs" dxfId="5865" priority="3974" operator="notEqual">
      <formula>0</formula>
    </cfRule>
  </conditionalFormatting>
  <conditionalFormatting sqref="H10">
    <cfRule type="cellIs" dxfId="5864" priority="3972" operator="equal">
      <formula>0</formula>
    </cfRule>
  </conditionalFormatting>
  <conditionalFormatting sqref="I8:I9">
    <cfRule type="cellIs" dxfId="5863" priority="3970" operator="equal">
      <formula>0</formula>
    </cfRule>
    <cfRule type="cellIs" dxfId="5862" priority="3971" operator="notEqual">
      <formula>0</formula>
    </cfRule>
  </conditionalFormatting>
  <conditionalFormatting sqref="I10">
    <cfRule type="cellIs" dxfId="5861" priority="3969" operator="equal">
      <formula>0</formula>
    </cfRule>
  </conditionalFormatting>
  <conditionalFormatting sqref="J8:J9">
    <cfRule type="cellIs" dxfId="5860" priority="3967" operator="equal">
      <formula>0</formula>
    </cfRule>
    <cfRule type="cellIs" dxfId="5859" priority="3968" operator="notEqual">
      <formula>0</formula>
    </cfRule>
  </conditionalFormatting>
  <conditionalFormatting sqref="J10">
    <cfRule type="cellIs" dxfId="5858" priority="3966" operator="equal">
      <formula>0</formula>
    </cfRule>
  </conditionalFormatting>
  <conditionalFormatting sqref="K8:K9">
    <cfRule type="cellIs" dxfId="5857" priority="3964" operator="equal">
      <formula>0</formula>
    </cfRule>
    <cfRule type="cellIs" dxfId="5856" priority="3965" operator="notEqual">
      <formula>0</formula>
    </cfRule>
  </conditionalFormatting>
  <conditionalFormatting sqref="K10">
    <cfRule type="cellIs" dxfId="5855" priority="3963" operator="equal">
      <formula>0</formula>
    </cfRule>
  </conditionalFormatting>
  <conditionalFormatting sqref="L10">
    <cfRule type="cellIs" dxfId="5854" priority="3962" operator="equal">
      <formula>0</formula>
    </cfRule>
  </conditionalFormatting>
  <conditionalFormatting sqref="M10">
    <cfRule type="cellIs" dxfId="5853" priority="3961" operator="equal">
      <formula>0</formula>
    </cfRule>
  </conditionalFormatting>
  <conditionalFormatting sqref="N10">
    <cfRule type="cellIs" dxfId="5852" priority="3960" operator="equal">
      <formula>0</formula>
    </cfRule>
  </conditionalFormatting>
  <conditionalFormatting sqref="O10">
    <cfRule type="cellIs" dxfId="5851" priority="3959" operator="equal">
      <formula>0</formula>
    </cfRule>
  </conditionalFormatting>
  <conditionalFormatting sqref="P7">
    <cfRule type="cellIs" dxfId="5850" priority="3957" operator="equal">
      <formula>0</formula>
    </cfRule>
    <cfRule type="cellIs" dxfId="5849" priority="3958" operator="notEqual">
      <formula>0</formula>
    </cfRule>
  </conditionalFormatting>
  <conditionalFormatting sqref="P10">
    <cfRule type="cellIs" dxfId="5848" priority="3956" operator="equal">
      <formula>0</formula>
    </cfRule>
  </conditionalFormatting>
  <conditionalFormatting sqref="Q7">
    <cfRule type="cellIs" dxfId="5847" priority="3954" operator="equal">
      <formula>0</formula>
    </cfRule>
    <cfRule type="cellIs" dxfId="5846" priority="3955" operator="notEqual">
      <formula>0</formula>
    </cfRule>
  </conditionalFormatting>
  <conditionalFormatting sqref="Q10">
    <cfRule type="cellIs" dxfId="5845" priority="3953" operator="equal">
      <formula>0</formula>
    </cfRule>
  </conditionalFormatting>
  <conditionalFormatting sqref="R7">
    <cfRule type="cellIs" dxfId="5844" priority="3951" operator="equal">
      <formula>0</formula>
    </cfRule>
    <cfRule type="cellIs" dxfId="5843" priority="3952" operator="notEqual">
      <formula>0</formula>
    </cfRule>
  </conditionalFormatting>
  <conditionalFormatting sqref="R10">
    <cfRule type="cellIs" dxfId="5842" priority="3950" operator="equal">
      <formula>0</formula>
    </cfRule>
  </conditionalFormatting>
  <conditionalFormatting sqref="S7">
    <cfRule type="cellIs" dxfId="5841" priority="3948" operator="equal">
      <formula>0</formula>
    </cfRule>
    <cfRule type="cellIs" dxfId="5840" priority="3949" operator="notEqual">
      <formula>0</formula>
    </cfRule>
  </conditionalFormatting>
  <conditionalFormatting sqref="S10">
    <cfRule type="cellIs" dxfId="5839" priority="3947" operator="equal">
      <formula>0</formula>
    </cfRule>
  </conditionalFormatting>
  <conditionalFormatting sqref="D13:D14">
    <cfRule type="cellIs" dxfId="5838" priority="3945" operator="equal">
      <formula>0</formula>
    </cfRule>
    <cfRule type="cellIs" dxfId="5837" priority="3946" operator="notEqual">
      <formula>0</formula>
    </cfRule>
  </conditionalFormatting>
  <conditionalFormatting sqref="D15:D16">
    <cfRule type="cellIs" dxfId="5836" priority="3944" operator="equal">
      <formula>0</formula>
    </cfRule>
  </conditionalFormatting>
  <conditionalFormatting sqref="E13:E14">
    <cfRule type="cellIs" dxfId="5835" priority="3942" operator="equal">
      <formula>0</formula>
    </cfRule>
    <cfRule type="cellIs" dxfId="5834" priority="3943" operator="notEqual">
      <formula>0</formula>
    </cfRule>
  </conditionalFormatting>
  <conditionalFormatting sqref="E15:E16 F16:S16">
    <cfRule type="cellIs" dxfId="5833" priority="3941" operator="equal">
      <formula>0</formula>
    </cfRule>
  </conditionalFormatting>
  <conditionalFormatting sqref="F13:F14">
    <cfRule type="cellIs" dxfId="5832" priority="3939" operator="equal">
      <formula>0</formula>
    </cfRule>
    <cfRule type="cellIs" dxfId="5831" priority="3940" operator="notEqual">
      <formula>0</formula>
    </cfRule>
  </conditionalFormatting>
  <conditionalFormatting sqref="F15">
    <cfRule type="cellIs" dxfId="5830" priority="3938" operator="equal">
      <formula>0</formula>
    </cfRule>
  </conditionalFormatting>
  <conditionalFormatting sqref="G13:G14">
    <cfRule type="cellIs" dxfId="5829" priority="3936" operator="equal">
      <formula>0</formula>
    </cfRule>
    <cfRule type="cellIs" dxfId="5828" priority="3937" operator="notEqual">
      <formula>0</formula>
    </cfRule>
  </conditionalFormatting>
  <conditionalFormatting sqref="G15">
    <cfRule type="cellIs" dxfId="5827" priority="3935" operator="equal">
      <formula>0</formula>
    </cfRule>
  </conditionalFormatting>
  <conditionalFormatting sqref="H13:H14">
    <cfRule type="cellIs" dxfId="5826" priority="3933" operator="equal">
      <formula>0</formula>
    </cfRule>
    <cfRule type="cellIs" dxfId="5825" priority="3934" operator="notEqual">
      <formula>0</formula>
    </cfRule>
  </conditionalFormatting>
  <conditionalFormatting sqref="H15">
    <cfRule type="cellIs" dxfId="5824" priority="3932" operator="equal">
      <formula>0</formula>
    </cfRule>
  </conditionalFormatting>
  <conditionalFormatting sqref="I13:I14">
    <cfRule type="cellIs" dxfId="5823" priority="3930" operator="equal">
      <formula>0</formula>
    </cfRule>
    <cfRule type="cellIs" dxfId="5822" priority="3931" operator="notEqual">
      <formula>0</formula>
    </cfRule>
  </conditionalFormatting>
  <conditionalFormatting sqref="I15">
    <cfRule type="cellIs" dxfId="5821" priority="3929" operator="equal">
      <formula>0</formula>
    </cfRule>
  </conditionalFormatting>
  <conditionalFormatting sqref="J13:J14">
    <cfRule type="cellIs" dxfId="5820" priority="3927" operator="equal">
      <formula>0</formula>
    </cfRule>
    <cfRule type="cellIs" dxfId="5819" priority="3928" operator="notEqual">
      <formula>0</formula>
    </cfRule>
  </conditionalFormatting>
  <conditionalFormatting sqref="J15">
    <cfRule type="cellIs" dxfId="5818" priority="3926" operator="equal">
      <formula>0</formula>
    </cfRule>
  </conditionalFormatting>
  <conditionalFormatting sqref="K13:K14">
    <cfRule type="cellIs" dxfId="5817" priority="3924" operator="equal">
      <formula>0</formula>
    </cfRule>
    <cfRule type="cellIs" dxfId="5816" priority="3925" operator="notEqual">
      <formula>0</formula>
    </cfRule>
  </conditionalFormatting>
  <conditionalFormatting sqref="K15">
    <cfRule type="cellIs" dxfId="5815" priority="3923" operator="equal">
      <formula>0</formula>
    </cfRule>
  </conditionalFormatting>
  <conditionalFormatting sqref="L15">
    <cfRule type="cellIs" dxfId="5814" priority="3922" operator="equal">
      <formula>0</formula>
    </cfRule>
  </conditionalFormatting>
  <conditionalFormatting sqref="M15">
    <cfRule type="cellIs" dxfId="5813" priority="3921" operator="equal">
      <formula>0</formula>
    </cfRule>
  </conditionalFormatting>
  <conditionalFormatting sqref="N15">
    <cfRule type="cellIs" dxfId="5812" priority="3920" operator="equal">
      <formula>0</formula>
    </cfRule>
  </conditionalFormatting>
  <conditionalFormatting sqref="O15">
    <cfRule type="cellIs" dxfId="5811" priority="3919" operator="equal">
      <formula>0</formula>
    </cfRule>
  </conditionalFormatting>
  <conditionalFormatting sqref="P12">
    <cfRule type="cellIs" dxfId="5810" priority="3917" operator="equal">
      <formula>0</formula>
    </cfRule>
    <cfRule type="cellIs" dxfId="5809" priority="3918" operator="notEqual">
      <formula>0</formula>
    </cfRule>
  </conditionalFormatting>
  <conditionalFormatting sqref="P15">
    <cfRule type="cellIs" dxfId="5808" priority="3916" operator="equal">
      <formula>0</formula>
    </cfRule>
  </conditionalFormatting>
  <conditionalFormatting sqref="Q12">
    <cfRule type="cellIs" dxfId="5807" priority="3914" operator="equal">
      <formula>0</formula>
    </cfRule>
    <cfRule type="cellIs" dxfId="5806" priority="3915" operator="notEqual">
      <formula>0</formula>
    </cfRule>
  </conditionalFormatting>
  <conditionalFormatting sqref="Q15">
    <cfRule type="cellIs" dxfId="5805" priority="3913" operator="equal">
      <formula>0</formula>
    </cfRule>
  </conditionalFormatting>
  <conditionalFormatting sqref="R12">
    <cfRule type="cellIs" dxfId="5804" priority="3911" operator="equal">
      <formula>0</formula>
    </cfRule>
    <cfRule type="cellIs" dxfId="5803" priority="3912" operator="notEqual">
      <formula>0</formula>
    </cfRule>
  </conditionalFormatting>
  <conditionalFormatting sqref="R15">
    <cfRule type="cellIs" dxfId="5802" priority="3910" operator="equal">
      <formula>0</formula>
    </cfRule>
  </conditionalFormatting>
  <conditionalFormatting sqref="S12">
    <cfRule type="cellIs" dxfId="5801" priority="3908" operator="equal">
      <formula>0</formula>
    </cfRule>
    <cfRule type="cellIs" dxfId="5800" priority="3909" operator="notEqual">
      <formula>0</formula>
    </cfRule>
  </conditionalFormatting>
  <conditionalFormatting sqref="S15">
    <cfRule type="cellIs" dxfId="5799" priority="3907" operator="equal">
      <formula>0</formula>
    </cfRule>
  </conditionalFormatting>
  <conditionalFormatting sqref="D18:D19">
    <cfRule type="cellIs" dxfId="5798" priority="3905" operator="equal">
      <formula>0</formula>
    </cfRule>
    <cfRule type="cellIs" dxfId="5797" priority="3906" operator="notEqual">
      <formula>0</formula>
    </cfRule>
  </conditionalFormatting>
  <conditionalFormatting sqref="D20:D21 E21:S21">
    <cfRule type="cellIs" dxfId="5796" priority="3904" operator="equal">
      <formula>0</formula>
    </cfRule>
  </conditionalFormatting>
  <conditionalFormatting sqref="E18:E19">
    <cfRule type="cellIs" dxfId="5795" priority="3902" operator="equal">
      <formula>0</formula>
    </cfRule>
    <cfRule type="cellIs" dxfId="5794" priority="3903" operator="notEqual">
      <formula>0</formula>
    </cfRule>
  </conditionalFormatting>
  <conditionalFormatting sqref="E20">
    <cfRule type="cellIs" dxfId="5793" priority="3901" operator="equal">
      <formula>0</formula>
    </cfRule>
  </conditionalFormatting>
  <conditionalFormatting sqref="F18:F19">
    <cfRule type="cellIs" dxfId="5792" priority="3899" operator="equal">
      <formula>0</formula>
    </cfRule>
    <cfRule type="cellIs" dxfId="5791" priority="3900" operator="notEqual">
      <formula>0</formula>
    </cfRule>
  </conditionalFormatting>
  <conditionalFormatting sqref="F20">
    <cfRule type="cellIs" dxfId="5790" priority="3898" operator="equal">
      <formula>0</formula>
    </cfRule>
  </conditionalFormatting>
  <conditionalFormatting sqref="G18:G19">
    <cfRule type="cellIs" dxfId="5789" priority="3896" operator="equal">
      <formula>0</formula>
    </cfRule>
    <cfRule type="cellIs" dxfId="5788" priority="3897" operator="notEqual">
      <formula>0</formula>
    </cfRule>
  </conditionalFormatting>
  <conditionalFormatting sqref="G20">
    <cfRule type="cellIs" dxfId="5787" priority="3895" operator="equal">
      <formula>0</formula>
    </cfRule>
  </conditionalFormatting>
  <conditionalFormatting sqref="H18:H19">
    <cfRule type="cellIs" dxfId="5786" priority="3893" operator="equal">
      <formula>0</formula>
    </cfRule>
    <cfRule type="cellIs" dxfId="5785" priority="3894" operator="notEqual">
      <formula>0</formula>
    </cfRule>
  </conditionalFormatting>
  <conditionalFormatting sqref="H20">
    <cfRule type="cellIs" dxfId="5784" priority="3892" operator="equal">
      <formula>0</formula>
    </cfRule>
  </conditionalFormatting>
  <conditionalFormatting sqref="I18:I19">
    <cfRule type="cellIs" dxfId="5783" priority="3890" operator="equal">
      <formula>0</formula>
    </cfRule>
    <cfRule type="cellIs" dxfId="5782" priority="3891" operator="notEqual">
      <formula>0</formula>
    </cfRule>
  </conditionalFormatting>
  <conditionalFormatting sqref="I20">
    <cfRule type="cellIs" dxfId="5781" priority="3889" operator="equal">
      <formula>0</formula>
    </cfRule>
  </conditionalFormatting>
  <conditionalFormatting sqref="J18:J19">
    <cfRule type="cellIs" dxfId="5780" priority="3887" operator="equal">
      <formula>0</formula>
    </cfRule>
    <cfRule type="cellIs" dxfId="5779" priority="3888" operator="notEqual">
      <formula>0</formula>
    </cfRule>
  </conditionalFormatting>
  <conditionalFormatting sqref="J20">
    <cfRule type="cellIs" dxfId="5778" priority="3886" operator="equal">
      <formula>0</formula>
    </cfRule>
  </conditionalFormatting>
  <conditionalFormatting sqref="K18:K19">
    <cfRule type="cellIs" dxfId="5777" priority="3884" operator="equal">
      <formula>0</formula>
    </cfRule>
    <cfRule type="cellIs" dxfId="5776" priority="3885" operator="notEqual">
      <formula>0</formula>
    </cfRule>
  </conditionalFormatting>
  <conditionalFormatting sqref="K20">
    <cfRule type="cellIs" dxfId="5775" priority="3883" operator="equal">
      <formula>0</formula>
    </cfRule>
  </conditionalFormatting>
  <conditionalFormatting sqref="L20">
    <cfRule type="cellIs" dxfId="5774" priority="3882" operator="equal">
      <formula>0</formula>
    </cfRule>
  </conditionalFormatting>
  <conditionalFormatting sqref="M20">
    <cfRule type="cellIs" dxfId="5773" priority="3881" operator="equal">
      <formula>0</formula>
    </cfRule>
  </conditionalFormatting>
  <conditionalFormatting sqref="O20">
    <cfRule type="cellIs" dxfId="5772" priority="3879" operator="equal">
      <formula>0</formula>
    </cfRule>
  </conditionalFormatting>
  <conditionalFormatting sqref="P17">
    <cfRule type="cellIs" dxfId="5771" priority="3877" operator="equal">
      <formula>0</formula>
    </cfRule>
    <cfRule type="cellIs" dxfId="5770" priority="3878" operator="notEqual">
      <formula>0</formula>
    </cfRule>
  </conditionalFormatting>
  <conditionalFormatting sqref="P20">
    <cfRule type="cellIs" dxfId="5769" priority="3876" operator="equal">
      <formula>0</formula>
    </cfRule>
  </conditionalFormatting>
  <conditionalFormatting sqref="Q17">
    <cfRule type="cellIs" dxfId="5768" priority="3874" operator="equal">
      <formula>0</formula>
    </cfRule>
    <cfRule type="cellIs" dxfId="5767" priority="3875" operator="notEqual">
      <formula>0</formula>
    </cfRule>
  </conditionalFormatting>
  <conditionalFormatting sqref="Q20">
    <cfRule type="cellIs" dxfId="5766" priority="3873" operator="equal">
      <formula>0</formula>
    </cfRule>
  </conditionalFormatting>
  <conditionalFormatting sqref="R17">
    <cfRule type="cellIs" dxfId="5765" priority="3871" operator="equal">
      <formula>0</formula>
    </cfRule>
    <cfRule type="cellIs" dxfId="5764" priority="3872" operator="notEqual">
      <formula>0</formula>
    </cfRule>
  </conditionalFormatting>
  <conditionalFormatting sqref="R20">
    <cfRule type="cellIs" dxfId="5763" priority="3870" operator="equal">
      <formula>0</formula>
    </cfRule>
  </conditionalFormatting>
  <conditionalFormatting sqref="S17">
    <cfRule type="cellIs" dxfId="5762" priority="3868" operator="equal">
      <formula>0</formula>
    </cfRule>
    <cfRule type="cellIs" dxfId="5761" priority="3869" operator="notEqual">
      <formula>0</formula>
    </cfRule>
  </conditionalFormatting>
  <conditionalFormatting sqref="S20">
    <cfRule type="cellIs" dxfId="5760" priority="3867" operator="equal">
      <formula>0</formula>
    </cfRule>
  </conditionalFormatting>
  <conditionalFormatting sqref="D23:D24">
    <cfRule type="cellIs" dxfId="5759" priority="3865" operator="equal">
      <formula>0</formula>
    </cfRule>
    <cfRule type="cellIs" dxfId="5758" priority="3866" operator="notEqual">
      <formula>0</formula>
    </cfRule>
  </conditionalFormatting>
  <conditionalFormatting sqref="D25:D26 E26:S26">
    <cfRule type="cellIs" dxfId="5757" priority="3864" operator="equal">
      <formula>0</formula>
    </cfRule>
  </conditionalFormatting>
  <conditionalFormatting sqref="E23:E24">
    <cfRule type="cellIs" dxfId="5756" priority="3862" operator="equal">
      <formula>0</formula>
    </cfRule>
    <cfRule type="cellIs" dxfId="5755" priority="3863" operator="notEqual">
      <formula>0</formula>
    </cfRule>
  </conditionalFormatting>
  <conditionalFormatting sqref="E25">
    <cfRule type="cellIs" dxfId="5754" priority="3861" operator="equal">
      <formula>0</formula>
    </cfRule>
  </conditionalFormatting>
  <conditionalFormatting sqref="F23:F24">
    <cfRule type="cellIs" dxfId="5753" priority="3859" operator="equal">
      <formula>0</formula>
    </cfRule>
    <cfRule type="cellIs" dxfId="5752" priority="3860" operator="notEqual">
      <formula>0</formula>
    </cfRule>
  </conditionalFormatting>
  <conditionalFormatting sqref="F25">
    <cfRule type="cellIs" dxfId="5751" priority="3858" operator="equal">
      <formula>0</formula>
    </cfRule>
  </conditionalFormatting>
  <conditionalFormatting sqref="G23:G24">
    <cfRule type="cellIs" dxfId="5750" priority="3856" operator="equal">
      <formula>0</formula>
    </cfRule>
    <cfRule type="cellIs" dxfId="5749" priority="3857" operator="notEqual">
      <formula>0</formula>
    </cfRule>
  </conditionalFormatting>
  <conditionalFormatting sqref="G25">
    <cfRule type="cellIs" dxfId="5748" priority="3855" operator="equal">
      <formula>0</formula>
    </cfRule>
  </conditionalFormatting>
  <conditionalFormatting sqref="H23:H24">
    <cfRule type="cellIs" dxfId="5747" priority="3853" operator="equal">
      <formula>0</formula>
    </cfRule>
    <cfRule type="cellIs" dxfId="5746" priority="3854" operator="notEqual">
      <formula>0</formula>
    </cfRule>
  </conditionalFormatting>
  <conditionalFormatting sqref="H25">
    <cfRule type="cellIs" dxfId="5745" priority="3852" operator="equal">
      <formula>0</formula>
    </cfRule>
  </conditionalFormatting>
  <conditionalFormatting sqref="I23:I24">
    <cfRule type="cellIs" dxfId="5744" priority="3850" operator="equal">
      <formula>0</formula>
    </cfRule>
    <cfRule type="cellIs" dxfId="5743" priority="3851" operator="notEqual">
      <formula>0</formula>
    </cfRule>
  </conditionalFormatting>
  <conditionalFormatting sqref="I25">
    <cfRule type="cellIs" dxfId="5742" priority="3849" operator="equal">
      <formula>0</formula>
    </cfRule>
  </conditionalFormatting>
  <conditionalFormatting sqref="J23:J24">
    <cfRule type="cellIs" dxfId="5741" priority="3847" operator="equal">
      <formula>0</formula>
    </cfRule>
    <cfRule type="cellIs" dxfId="5740" priority="3848" operator="notEqual">
      <formula>0</formula>
    </cfRule>
  </conditionalFormatting>
  <conditionalFormatting sqref="J25">
    <cfRule type="cellIs" dxfId="5739" priority="3846" operator="equal">
      <formula>0</formula>
    </cfRule>
  </conditionalFormatting>
  <conditionalFormatting sqref="K23:K24">
    <cfRule type="cellIs" dxfId="5738" priority="3844" operator="equal">
      <formula>0</formula>
    </cfRule>
    <cfRule type="cellIs" dxfId="5737" priority="3845" operator="notEqual">
      <formula>0</formula>
    </cfRule>
  </conditionalFormatting>
  <conditionalFormatting sqref="K25">
    <cfRule type="cellIs" dxfId="5736" priority="3843" operator="equal">
      <formula>0</formula>
    </cfRule>
  </conditionalFormatting>
  <conditionalFormatting sqref="L25">
    <cfRule type="cellIs" dxfId="5735" priority="3842" operator="equal">
      <formula>0</formula>
    </cfRule>
  </conditionalFormatting>
  <conditionalFormatting sqref="M25">
    <cfRule type="cellIs" dxfId="5734" priority="3841" operator="equal">
      <formula>0</formula>
    </cfRule>
  </conditionalFormatting>
  <conditionalFormatting sqref="N25">
    <cfRule type="cellIs" dxfId="5733" priority="3840" operator="equal">
      <formula>0</formula>
    </cfRule>
  </conditionalFormatting>
  <conditionalFormatting sqref="O25">
    <cfRule type="cellIs" dxfId="5732" priority="3839" operator="equal">
      <formula>0</formula>
    </cfRule>
  </conditionalFormatting>
  <conditionalFormatting sqref="P22">
    <cfRule type="cellIs" dxfId="5731" priority="3837" operator="equal">
      <formula>0</formula>
    </cfRule>
    <cfRule type="cellIs" dxfId="5730" priority="3838" operator="notEqual">
      <formula>0</formula>
    </cfRule>
  </conditionalFormatting>
  <conditionalFormatting sqref="P25">
    <cfRule type="cellIs" dxfId="5729" priority="3836" operator="equal">
      <formula>0</formula>
    </cfRule>
  </conditionalFormatting>
  <conditionalFormatting sqref="Q22">
    <cfRule type="cellIs" dxfId="5728" priority="3834" operator="equal">
      <formula>0</formula>
    </cfRule>
    <cfRule type="cellIs" dxfId="5727" priority="3835" operator="notEqual">
      <formula>0</formula>
    </cfRule>
  </conditionalFormatting>
  <conditionalFormatting sqref="Q25">
    <cfRule type="cellIs" dxfId="5726" priority="3833" operator="equal">
      <formula>0</formula>
    </cfRule>
  </conditionalFormatting>
  <conditionalFormatting sqref="R22">
    <cfRule type="cellIs" dxfId="5725" priority="3831" operator="equal">
      <formula>0</formula>
    </cfRule>
    <cfRule type="cellIs" dxfId="5724" priority="3832" operator="notEqual">
      <formula>0</formula>
    </cfRule>
  </conditionalFormatting>
  <conditionalFormatting sqref="R25">
    <cfRule type="cellIs" dxfId="5723" priority="3830" operator="equal">
      <formula>0</formula>
    </cfRule>
  </conditionalFormatting>
  <conditionalFormatting sqref="S22">
    <cfRule type="cellIs" dxfId="5722" priority="3828" operator="equal">
      <formula>0</formula>
    </cfRule>
    <cfRule type="cellIs" dxfId="5721" priority="3829" operator="notEqual">
      <formula>0</formula>
    </cfRule>
  </conditionalFormatting>
  <conditionalFormatting sqref="S25">
    <cfRule type="cellIs" dxfId="5720" priority="3827" operator="equal">
      <formula>0</formula>
    </cfRule>
  </conditionalFormatting>
  <conditionalFormatting sqref="D28:D29">
    <cfRule type="cellIs" dxfId="5719" priority="3825" operator="equal">
      <formula>0</formula>
    </cfRule>
    <cfRule type="cellIs" dxfId="5718" priority="3826" operator="notEqual">
      <formula>0</formula>
    </cfRule>
  </conditionalFormatting>
  <conditionalFormatting sqref="D30:D31 E31:S31">
    <cfRule type="cellIs" dxfId="5717" priority="3824" operator="equal">
      <formula>0</formula>
    </cfRule>
  </conditionalFormatting>
  <conditionalFormatting sqref="E28:E29">
    <cfRule type="cellIs" dxfId="5716" priority="3822" operator="equal">
      <formula>0</formula>
    </cfRule>
    <cfRule type="cellIs" dxfId="5715" priority="3823" operator="notEqual">
      <formula>0</formula>
    </cfRule>
  </conditionalFormatting>
  <conditionalFormatting sqref="E30">
    <cfRule type="cellIs" dxfId="5714" priority="3821" operator="equal">
      <formula>0</formula>
    </cfRule>
  </conditionalFormatting>
  <conditionalFormatting sqref="F28:F29">
    <cfRule type="cellIs" dxfId="5713" priority="3819" operator="equal">
      <formula>0</formula>
    </cfRule>
    <cfRule type="cellIs" dxfId="5712" priority="3820" operator="notEqual">
      <formula>0</formula>
    </cfRule>
  </conditionalFormatting>
  <conditionalFormatting sqref="F30">
    <cfRule type="cellIs" dxfId="5711" priority="3818" operator="equal">
      <formula>0</formula>
    </cfRule>
  </conditionalFormatting>
  <conditionalFormatting sqref="G28:G29">
    <cfRule type="cellIs" dxfId="5710" priority="3816" operator="equal">
      <formula>0</formula>
    </cfRule>
    <cfRule type="cellIs" dxfId="5709" priority="3817" operator="notEqual">
      <formula>0</formula>
    </cfRule>
  </conditionalFormatting>
  <conditionalFormatting sqref="G30">
    <cfRule type="cellIs" dxfId="5708" priority="3815" operator="equal">
      <formula>0</formula>
    </cfRule>
  </conditionalFormatting>
  <conditionalFormatting sqref="H28:H29">
    <cfRule type="cellIs" dxfId="5707" priority="3813" operator="equal">
      <formula>0</formula>
    </cfRule>
    <cfRule type="cellIs" dxfId="5706" priority="3814" operator="notEqual">
      <formula>0</formula>
    </cfRule>
  </conditionalFormatting>
  <conditionalFormatting sqref="H30">
    <cfRule type="cellIs" dxfId="5705" priority="3812" operator="equal">
      <formula>0</formula>
    </cfRule>
  </conditionalFormatting>
  <conditionalFormatting sqref="I28:I29">
    <cfRule type="cellIs" dxfId="5704" priority="3810" operator="equal">
      <formula>0</formula>
    </cfRule>
    <cfRule type="cellIs" dxfId="5703" priority="3811" operator="notEqual">
      <formula>0</formula>
    </cfRule>
  </conditionalFormatting>
  <conditionalFormatting sqref="I30">
    <cfRule type="cellIs" dxfId="5702" priority="3809" operator="equal">
      <formula>0</formula>
    </cfRule>
  </conditionalFormatting>
  <conditionalFormatting sqref="J28:J29">
    <cfRule type="cellIs" dxfId="5701" priority="3807" operator="equal">
      <formula>0</formula>
    </cfRule>
    <cfRule type="cellIs" dxfId="5700" priority="3808" operator="notEqual">
      <formula>0</formula>
    </cfRule>
  </conditionalFormatting>
  <conditionalFormatting sqref="J30">
    <cfRule type="cellIs" dxfId="5699" priority="3806" operator="equal">
      <formula>0</formula>
    </cfRule>
  </conditionalFormatting>
  <conditionalFormatting sqref="K28:K29">
    <cfRule type="cellIs" dxfId="5698" priority="3804" operator="equal">
      <formula>0</formula>
    </cfRule>
    <cfRule type="cellIs" dxfId="5697" priority="3805" operator="notEqual">
      <formula>0</formula>
    </cfRule>
  </conditionalFormatting>
  <conditionalFormatting sqref="K30">
    <cfRule type="cellIs" dxfId="5696" priority="3803" operator="equal">
      <formula>0</formula>
    </cfRule>
  </conditionalFormatting>
  <conditionalFormatting sqref="L30">
    <cfRule type="cellIs" dxfId="5695" priority="3802" operator="equal">
      <formula>0</formula>
    </cfRule>
  </conditionalFormatting>
  <conditionalFormatting sqref="M30">
    <cfRule type="cellIs" dxfId="5694" priority="3801" operator="equal">
      <formula>0</formula>
    </cfRule>
  </conditionalFormatting>
  <conditionalFormatting sqref="N30">
    <cfRule type="cellIs" dxfId="5693" priority="3800" operator="equal">
      <formula>0</formula>
    </cfRule>
  </conditionalFormatting>
  <conditionalFormatting sqref="O30">
    <cfRule type="cellIs" dxfId="5692" priority="3799" operator="equal">
      <formula>0</formula>
    </cfRule>
  </conditionalFormatting>
  <conditionalFormatting sqref="P27">
    <cfRule type="cellIs" dxfId="5691" priority="3797" operator="equal">
      <formula>0</formula>
    </cfRule>
    <cfRule type="cellIs" dxfId="5690" priority="3798" operator="notEqual">
      <formula>0</formula>
    </cfRule>
  </conditionalFormatting>
  <conditionalFormatting sqref="P30">
    <cfRule type="cellIs" dxfId="5689" priority="3796" operator="equal">
      <formula>0</formula>
    </cfRule>
  </conditionalFormatting>
  <conditionalFormatting sqref="Q27">
    <cfRule type="cellIs" dxfId="5688" priority="3794" operator="equal">
      <formula>0</formula>
    </cfRule>
    <cfRule type="cellIs" dxfId="5687" priority="3795" operator="notEqual">
      <formula>0</formula>
    </cfRule>
  </conditionalFormatting>
  <conditionalFormatting sqref="Q30">
    <cfRule type="cellIs" dxfId="5686" priority="3793" operator="equal">
      <formula>0</formula>
    </cfRule>
  </conditionalFormatting>
  <conditionalFormatting sqref="R27">
    <cfRule type="cellIs" dxfId="5685" priority="3791" operator="equal">
      <formula>0</formula>
    </cfRule>
    <cfRule type="cellIs" dxfId="5684" priority="3792" operator="notEqual">
      <formula>0</formula>
    </cfRule>
  </conditionalFormatting>
  <conditionalFormatting sqref="R30">
    <cfRule type="cellIs" dxfId="5683" priority="3790" operator="equal">
      <formula>0</formula>
    </cfRule>
  </conditionalFormatting>
  <conditionalFormatting sqref="S27">
    <cfRule type="cellIs" dxfId="5682" priority="3788" operator="equal">
      <formula>0</formula>
    </cfRule>
    <cfRule type="cellIs" dxfId="5681" priority="3789" operator="notEqual">
      <formula>0</formula>
    </cfRule>
  </conditionalFormatting>
  <conditionalFormatting sqref="S30">
    <cfRule type="cellIs" dxfId="5680" priority="3787" operator="equal">
      <formula>0</formula>
    </cfRule>
  </conditionalFormatting>
  <conditionalFormatting sqref="D33:D34">
    <cfRule type="cellIs" dxfId="5679" priority="3785" operator="equal">
      <formula>0</formula>
    </cfRule>
    <cfRule type="cellIs" dxfId="5678" priority="3786" operator="notEqual">
      <formula>0</formula>
    </cfRule>
  </conditionalFormatting>
  <conditionalFormatting sqref="D35:D36 E36:S36">
    <cfRule type="cellIs" dxfId="5677" priority="3784" operator="equal">
      <formula>0</formula>
    </cfRule>
  </conditionalFormatting>
  <conditionalFormatting sqref="E33:E34">
    <cfRule type="cellIs" dxfId="5676" priority="3782" operator="equal">
      <formula>0</formula>
    </cfRule>
    <cfRule type="cellIs" dxfId="5675" priority="3783" operator="notEqual">
      <formula>0</formula>
    </cfRule>
  </conditionalFormatting>
  <conditionalFormatting sqref="E35">
    <cfRule type="cellIs" dxfId="5674" priority="3781" operator="equal">
      <formula>0</formula>
    </cfRule>
  </conditionalFormatting>
  <conditionalFormatting sqref="F33:F34">
    <cfRule type="cellIs" dxfId="5673" priority="3779" operator="equal">
      <formula>0</formula>
    </cfRule>
    <cfRule type="cellIs" dxfId="5672" priority="3780" operator="notEqual">
      <formula>0</formula>
    </cfRule>
  </conditionalFormatting>
  <conditionalFormatting sqref="F35">
    <cfRule type="cellIs" dxfId="5671" priority="3778" operator="equal">
      <formula>0</formula>
    </cfRule>
  </conditionalFormatting>
  <conditionalFormatting sqref="G33:G34">
    <cfRule type="cellIs" dxfId="5670" priority="3776" operator="equal">
      <formula>0</formula>
    </cfRule>
    <cfRule type="cellIs" dxfId="5669" priority="3777" operator="notEqual">
      <formula>0</formula>
    </cfRule>
  </conditionalFormatting>
  <conditionalFormatting sqref="G35">
    <cfRule type="cellIs" dxfId="5668" priority="3775" operator="equal">
      <formula>0</formula>
    </cfRule>
  </conditionalFormatting>
  <conditionalFormatting sqref="H33:H34">
    <cfRule type="cellIs" dxfId="5667" priority="3773" operator="equal">
      <formula>0</formula>
    </cfRule>
    <cfRule type="cellIs" dxfId="5666" priority="3774" operator="notEqual">
      <formula>0</formula>
    </cfRule>
  </conditionalFormatting>
  <conditionalFormatting sqref="H35">
    <cfRule type="cellIs" dxfId="5665" priority="3772" operator="equal">
      <formula>0</formula>
    </cfRule>
  </conditionalFormatting>
  <conditionalFormatting sqref="I33:I34">
    <cfRule type="cellIs" dxfId="5664" priority="3770" operator="equal">
      <formula>0</formula>
    </cfRule>
    <cfRule type="cellIs" dxfId="5663" priority="3771" operator="notEqual">
      <formula>0</formula>
    </cfRule>
  </conditionalFormatting>
  <conditionalFormatting sqref="I35">
    <cfRule type="cellIs" dxfId="5662" priority="3769" operator="equal">
      <formula>0</formula>
    </cfRule>
  </conditionalFormatting>
  <conditionalFormatting sqref="J33:J34">
    <cfRule type="cellIs" dxfId="5661" priority="3767" operator="equal">
      <formula>0</formula>
    </cfRule>
    <cfRule type="cellIs" dxfId="5660" priority="3768" operator="notEqual">
      <formula>0</formula>
    </cfRule>
  </conditionalFormatting>
  <conditionalFormatting sqref="J35">
    <cfRule type="cellIs" dxfId="5659" priority="3766" operator="equal">
      <formula>0</formula>
    </cfRule>
  </conditionalFormatting>
  <conditionalFormatting sqref="K33:K34">
    <cfRule type="cellIs" dxfId="5658" priority="3764" operator="equal">
      <formula>0</formula>
    </cfRule>
    <cfRule type="cellIs" dxfId="5657" priority="3765" operator="notEqual">
      <formula>0</formula>
    </cfRule>
  </conditionalFormatting>
  <conditionalFormatting sqref="K35">
    <cfRule type="cellIs" dxfId="5656" priority="3763" operator="equal">
      <formula>0</formula>
    </cfRule>
  </conditionalFormatting>
  <conditionalFormatting sqref="L35">
    <cfRule type="cellIs" dxfId="5655" priority="3762" operator="equal">
      <formula>0</formula>
    </cfRule>
  </conditionalFormatting>
  <conditionalFormatting sqref="M35">
    <cfRule type="cellIs" dxfId="5654" priority="3761" operator="equal">
      <formula>0</formula>
    </cfRule>
  </conditionalFormatting>
  <conditionalFormatting sqref="N35">
    <cfRule type="cellIs" dxfId="5653" priority="3760" operator="equal">
      <formula>0</formula>
    </cfRule>
  </conditionalFormatting>
  <conditionalFormatting sqref="O35">
    <cfRule type="cellIs" dxfId="5652" priority="3759" operator="equal">
      <formula>0</formula>
    </cfRule>
  </conditionalFormatting>
  <conditionalFormatting sqref="P32">
    <cfRule type="cellIs" dxfId="5651" priority="3757" operator="equal">
      <formula>0</formula>
    </cfRule>
    <cfRule type="cellIs" dxfId="5650" priority="3758" operator="notEqual">
      <formula>0</formula>
    </cfRule>
  </conditionalFormatting>
  <conditionalFormatting sqref="P35">
    <cfRule type="cellIs" dxfId="5649" priority="3756" operator="equal">
      <formula>0</formula>
    </cfRule>
  </conditionalFormatting>
  <conditionalFormatting sqref="Q32">
    <cfRule type="cellIs" dxfId="5648" priority="3754" operator="equal">
      <formula>0</formula>
    </cfRule>
    <cfRule type="cellIs" dxfId="5647" priority="3755" operator="notEqual">
      <formula>0</formula>
    </cfRule>
  </conditionalFormatting>
  <conditionalFormatting sqref="Q35">
    <cfRule type="cellIs" dxfId="5646" priority="3753" operator="equal">
      <formula>0</formula>
    </cfRule>
  </conditionalFormatting>
  <conditionalFormatting sqref="R32">
    <cfRule type="cellIs" dxfId="5645" priority="3751" operator="equal">
      <formula>0</formula>
    </cfRule>
    <cfRule type="cellIs" dxfId="5644" priority="3752" operator="notEqual">
      <formula>0</formula>
    </cfRule>
  </conditionalFormatting>
  <conditionalFormatting sqref="R35">
    <cfRule type="cellIs" dxfId="5643" priority="3750" operator="equal">
      <formula>0</formula>
    </cfRule>
  </conditionalFormatting>
  <conditionalFormatting sqref="S32">
    <cfRule type="cellIs" dxfId="5642" priority="3748" operator="equal">
      <formula>0</formula>
    </cfRule>
    <cfRule type="cellIs" dxfId="5641" priority="3749" operator="notEqual">
      <formula>0</formula>
    </cfRule>
  </conditionalFormatting>
  <conditionalFormatting sqref="S35">
    <cfRule type="cellIs" dxfId="5640" priority="3747" operator="equal">
      <formula>0</formula>
    </cfRule>
  </conditionalFormatting>
  <conditionalFormatting sqref="D38:D39">
    <cfRule type="cellIs" dxfId="5639" priority="3745" operator="equal">
      <formula>0</formula>
    </cfRule>
    <cfRule type="cellIs" dxfId="5638" priority="3746" operator="notEqual">
      <formula>0</formula>
    </cfRule>
  </conditionalFormatting>
  <conditionalFormatting sqref="D40:D41 E41:S41">
    <cfRule type="cellIs" dxfId="5637" priority="3744" operator="equal">
      <formula>0</formula>
    </cfRule>
  </conditionalFormatting>
  <conditionalFormatting sqref="E38:E39">
    <cfRule type="cellIs" dxfId="5636" priority="3742" operator="equal">
      <formula>0</formula>
    </cfRule>
    <cfRule type="cellIs" dxfId="5635" priority="3743" operator="notEqual">
      <formula>0</formula>
    </cfRule>
  </conditionalFormatting>
  <conditionalFormatting sqref="E40">
    <cfRule type="cellIs" dxfId="5634" priority="3741" operator="equal">
      <formula>0</formula>
    </cfRule>
  </conditionalFormatting>
  <conditionalFormatting sqref="F38:F39">
    <cfRule type="cellIs" dxfId="5633" priority="3739" operator="equal">
      <formula>0</formula>
    </cfRule>
    <cfRule type="cellIs" dxfId="5632" priority="3740" operator="notEqual">
      <formula>0</formula>
    </cfRule>
  </conditionalFormatting>
  <conditionalFormatting sqref="F40">
    <cfRule type="cellIs" dxfId="5631" priority="3738" operator="equal">
      <formula>0</formula>
    </cfRule>
  </conditionalFormatting>
  <conditionalFormatting sqref="G38:G39">
    <cfRule type="cellIs" dxfId="5630" priority="3736" operator="equal">
      <formula>0</formula>
    </cfRule>
    <cfRule type="cellIs" dxfId="5629" priority="3737" operator="notEqual">
      <formula>0</formula>
    </cfRule>
  </conditionalFormatting>
  <conditionalFormatting sqref="G40">
    <cfRule type="cellIs" dxfId="5628" priority="3735" operator="equal">
      <formula>0</formula>
    </cfRule>
  </conditionalFormatting>
  <conditionalFormatting sqref="H38:H39">
    <cfRule type="cellIs" dxfId="5627" priority="3733" operator="equal">
      <formula>0</formula>
    </cfRule>
    <cfRule type="cellIs" dxfId="5626" priority="3734" operator="notEqual">
      <formula>0</formula>
    </cfRule>
  </conditionalFormatting>
  <conditionalFormatting sqref="H40">
    <cfRule type="cellIs" dxfId="5625" priority="3732" operator="equal">
      <formula>0</formula>
    </cfRule>
  </conditionalFormatting>
  <conditionalFormatting sqref="I38:I39">
    <cfRule type="cellIs" dxfId="5624" priority="3730" operator="equal">
      <formula>0</formula>
    </cfRule>
    <cfRule type="cellIs" dxfId="5623" priority="3731" operator="notEqual">
      <formula>0</formula>
    </cfRule>
  </conditionalFormatting>
  <conditionalFormatting sqref="I40">
    <cfRule type="cellIs" dxfId="5622" priority="3729" operator="equal">
      <formula>0</formula>
    </cfRule>
  </conditionalFormatting>
  <conditionalFormatting sqref="J38:J39">
    <cfRule type="cellIs" dxfId="5621" priority="3727" operator="equal">
      <formula>0</formula>
    </cfRule>
    <cfRule type="cellIs" dxfId="5620" priority="3728" operator="notEqual">
      <formula>0</formula>
    </cfRule>
  </conditionalFormatting>
  <conditionalFormatting sqref="J40">
    <cfRule type="cellIs" dxfId="5619" priority="3726" operator="equal">
      <formula>0</formula>
    </cfRule>
  </conditionalFormatting>
  <conditionalFormatting sqref="K38:K39">
    <cfRule type="cellIs" dxfId="5618" priority="3724" operator="equal">
      <formula>0</formula>
    </cfRule>
    <cfRule type="cellIs" dxfId="5617" priority="3725" operator="notEqual">
      <formula>0</formula>
    </cfRule>
  </conditionalFormatting>
  <conditionalFormatting sqref="K40">
    <cfRule type="cellIs" dxfId="5616" priority="3723" operator="equal">
      <formula>0</formula>
    </cfRule>
  </conditionalFormatting>
  <conditionalFormatting sqref="L40">
    <cfRule type="cellIs" dxfId="5615" priority="3722" operator="equal">
      <formula>0</formula>
    </cfRule>
  </conditionalFormatting>
  <conditionalFormatting sqref="M40">
    <cfRule type="cellIs" dxfId="5614" priority="3721" operator="equal">
      <formula>0</formula>
    </cfRule>
  </conditionalFormatting>
  <conditionalFormatting sqref="N40">
    <cfRule type="cellIs" dxfId="5613" priority="3720" operator="equal">
      <formula>0</formula>
    </cfRule>
  </conditionalFormatting>
  <conditionalFormatting sqref="O40">
    <cfRule type="cellIs" dxfId="5612" priority="3719" operator="equal">
      <formula>0</formula>
    </cfRule>
  </conditionalFormatting>
  <conditionalFormatting sqref="P37">
    <cfRule type="cellIs" dxfId="5611" priority="3717" operator="equal">
      <formula>0</formula>
    </cfRule>
    <cfRule type="cellIs" dxfId="5610" priority="3718" operator="notEqual">
      <formula>0</formula>
    </cfRule>
  </conditionalFormatting>
  <conditionalFormatting sqref="P40">
    <cfRule type="cellIs" dxfId="5609" priority="3716" operator="equal">
      <formula>0</formula>
    </cfRule>
  </conditionalFormatting>
  <conditionalFormatting sqref="Q37">
    <cfRule type="cellIs" dxfId="5608" priority="3714" operator="equal">
      <formula>0</formula>
    </cfRule>
    <cfRule type="cellIs" dxfId="5607" priority="3715" operator="notEqual">
      <formula>0</formula>
    </cfRule>
  </conditionalFormatting>
  <conditionalFormatting sqref="Q40">
    <cfRule type="cellIs" dxfId="5606" priority="3713" operator="equal">
      <formula>0</formula>
    </cfRule>
  </conditionalFormatting>
  <conditionalFormatting sqref="R37">
    <cfRule type="cellIs" dxfId="5605" priority="3711" operator="equal">
      <formula>0</formula>
    </cfRule>
    <cfRule type="cellIs" dxfId="5604" priority="3712" operator="notEqual">
      <formula>0</formula>
    </cfRule>
  </conditionalFormatting>
  <conditionalFormatting sqref="R40">
    <cfRule type="cellIs" dxfId="5603" priority="3710" operator="equal">
      <formula>0</formula>
    </cfRule>
  </conditionalFormatting>
  <conditionalFormatting sqref="S37">
    <cfRule type="cellIs" dxfId="5602" priority="3708" operator="equal">
      <formula>0</formula>
    </cfRule>
    <cfRule type="cellIs" dxfId="5601" priority="3709" operator="notEqual">
      <formula>0</formula>
    </cfRule>
  </conditionalFormatting>
  <conditionalFormatting sqref="S40">
    <cfRule type="cellIs" dxfId="5600" priority="3707" operator="equal">
      <formula>0</formula>
    </cfRule>
  </conditionalFormatting>
  <conditionalFormatting sqref="D43:D44">
    <cfRule type="cellIs" dxfId="5599" priority="3705" operator="equal">
      <formula>0</formula>
    </cfRule>
    <cfRule type="cellIs" dxfId="5598" priority="3706" operator="notEqual">
      <formula>0</formula>
    </cfRule>
  </conditionalFormatting>
  <conditionalFormatting sqref="D45:D46 E46:S46">
    <cfRule type="cellIs" dxfId="5597" priority="3704" operator="equal">
      <formula>0</formula>
    </cfRule>
  </conditionalFormatting>
  <conditionalFormatting sqref="E43:E44">
    <cfRule type="cellIs" dxfId="5596" priority="3702" operator="equal">
      <formula>0</formula>
    </cfRule>
    <cfRule type="cellIs" dxfId="5595" priority="3703" operator="notEqual">
      <formula>0</formula>
    </cfRule>
  </conditionalFormatting>
  <conditionalFormatting sqref="E45">
    <cfRule type="cellIs" dxfId="5594" priority="3701" operator="equal">
      <formula>0</formula>
    </cfRule>
  </conditionalFormatting>
  <conditionalFormatting sqref="F43:F44">
    <cfRule type="cellIs" dxfId="5593" priority="3699" operator="equal">
      <formula>0</formula>
    </cfRule>
    <cfRule type="cellIs" dxfId="5592" priority="3700" operator="notEqual">
      <formula>0</formula>
    </cfRule>
  </conditionalFormatting>
  <conditionalFormatting sqref="F45">
    <cfRule type="cellIs" dxfId="5591" priority="3698" operator="equal">
      <formula>0</formula>
    </cfRule>
  </conditionalFormatting>
  <conditionalFormatting sqref="G43:G44">
    <cfRule type="cellIs" dxfId="5590" priority="3696" operator="equal">
      <formula>0</formula>
    </cfRule>
    <cfRule type="cellIs" dxfId="5589" priority="3697" operator="notEqual">
      <formula>0</formula>
    </cfRule>
  </conditionalFormatting>
  <conditionalFormatting sqref="G45">
    <cfRule type="cellIs" dxfId="5588" priority="3695" operator="equal">
      <formula>0</formula>
    </cfRule>
  </conditionalFormatting>
  <conditionalFormatting sqref="H43:H44">
    <cfRule type="cellIs" dxfId="5587" priority="3693" operator="equal">
      <formula>0</formula>
    </cfRule>
    <cfRule type="cellIs" dxfId="5586" priority="3694" operator="notEqual">
      <formula>0</formula>
    </cfRule>
  </conditionalFormatting>
  <conditionalFormatting sqref="H45">
    <cfRule type="cellIs" dxfId="5585" priority="3692" operator="equal">
      <formula>0</formula>
    </cfRule>
  </conditionalFormatting>
  <conditionalFormatting sqref="I43:I44">
    <cfRule type="cellIs" dxfId="5584" priority="3690" operator="equal">
      <formula>0</formula>
    </cfRule>
    <cfRule type="cellIs" dxfId="5583" priority="3691" operator="notEqual">
      <formula>0</formula>
    </cfRule>
  </conditionalFormatting>
  <conditionalFormatting sqref="I45">
    <cfRule type="cellIs" dxfId="5582" priority="3689" operator="equal">
      <formula>0</formula>
    </cfRule>
  </conditionalFormatting>
  <conditionalFormatting sqref="J43:J44">
    <cfRule type="cellIs" dxfId="5581" priority="3687" operator="equal">
      <formula>0</formula>
    </cfRule>
    <cfRule type="cellIs" dxfId="5580" priority="3688" operator="notEqual">
      <formula>0</formula>
    </cfRule>
  </conditionalFormatting>
  <conditionalFormatting sqref="J45">
    <cfRule type="cellIs" dxfId="5579" priority="3686" operator="equal">
      <formula>0</formula>
    </cfRule>
  </conditionalFormatting>
  <conditionalFormatting sqref="K43:K44">
    <cfRule type="cellIs" dxfId="5578" priority="3684" operator="equal">
      <formula>0</formula>
    </cfRule>
    <cfRule type="cellIs" dxfId="5577" priority="3685" operator="notEqual">
      <formula>0</formula>
    </cfRule>
  </conditionalFormatting>
  <conditionalFormatting sqref="K45">
    <cfRule type="cellIs" dxfId="5576" priority="3683" operator="equal">
      <formula>0</formula>
    </cfRule>
  </conditionalFormatting>
  <conditionalFormatting sqref="L45">
    <cfRule type="cellIs" dxfId="5575" priority="3682" operator="equal">
      <formula>0</formula>
    </cfRule>
  </conditionalFormatting>
  <conditionalFormatting sqref="M45">
    <cfRule type="cellIs" dxfId="5574" priority="3681" operator="equal">
      <formula>0</formula>
    </cfRule>
  </conditionalFormatting>
  <conditionalFormatting sqref="N45">
    <cfRule type="cellIs" dxfId="5573" priority="3680" operator="equal">
      <formula>0</formula>
    </cfRule>
  </conditionalFormatting>
  <conditionalFormatting sqref="O45">
    <cfRule type="cellIs" dxfId="5572" priority="3679" operator="equal">
      <formula>0</formula>
    </cfRule>
  </conditionalFormatting>
  <conditionalFormatting sqref="P42">
    <cfRule type="cellIs" dxfId="5571" priority="3677" operator="equal">
      <formula>0</formula>
    </cfRule>
    <cfRule type="cellIs" dxfId="5570" priority="3678" operator="notEqual">
      <formula>0</formula>
    </cfRule>
  </conditionalFormatting>
  <conditionalFormatting sqref="P45">
    <cfRule type="cellIs" dxfId="5569" priority="3676" operator="equal">
      <formula>0</formula>
    </cfRule>
  </conditionalFormatting>
  <conditionalFormatting sqref="Q42">
    <cfRule type="cellIs" dxfId="5568" priority="3674" operator="equal">
      <formula>0</formula>
    </cfRule>
    <cfRule type="cellIs" dxfId="5567" priority="3675" operator="notEqual">
      <formula>0</formula>
    </cfRule>
  </conditionalFormatting>
  <conditionalFormatting sqref="Q45">
    <cfRule type="cellIs" dxfId="5566" priority="3673" operator="equal">
      <formula>0</formula>
    </cfRule>
  </conditionalFormatting>
  <conditionalFormatting sqref="R42">
    <cfRule type="cellIs" dxfId="5565" priority="3671" operator="equal">
      <formula>0</formula>
    </cfRule>
    <cfRule type="cellIs" dxfId="5564" priority="3672" operator="notEqual">
      <formula>0</formula>
    </cfRule>
  </conditionalFormatting>
  <conditionalFormatting sqref="R45">
    <cfRule type="cellIs" dxfId="5563" priority="3670" operator="equal">
      <formula>0</formula>
    </cfRule>
  </conditionalFormatting>
  <conditionalFormatting sqref="S42">
    <cfRule type="cellIs" dxfId="5562" priority="3668" operator="equal">
      <formula>0</formula>
    </cfRule>
    <cfRule type="cellIs" dxfId="5561" priority="3669" operator="notEqual">
      <formula>0</formula>
    </cfRule>
  </conditionalFormatting>
  <conditionalFormatting sqref="S45">
    <cfRule type="cellIs" dxfId="5560" priority="3667" operator="equal">
      <formula>0</formula>
    </cfRule>
  </conditionalFormatting>
  <conditionalFormatting sqref="D48:D49">
    <cfRule type="cellIs" dxfId="5559" priority="3665" operator="equal">
      <formula>0</formula>
    </cfRule>
    <cfRule type="cellIs" dxfId="5558" priority="3666" operator="notEqual">
      <formula>0</formula>
    </cfRule>
  </conditionalFormatting>
  <conditionalFormatting sqref="D50:D51 E51:S51">
    <cfRule type="cellIs" dxfId="5557" priority="3664" operator="equal">
      <formula>0</formula>
    </cfRule>
  </conditionalFormatting>
  <conditionalFormatting sqref="E48:E49">
    <cfRule type="cellIs" dxfId="5556" priority="3662" operator="equal">
      <formula>0</formula>
    </cfRule>
    <cfRule type="cellIs" dxfId="5555" priority="3663" operator="notEqual">
      <formula>0</formula>
    </cfRule>
  </conditionalFormatting>
  <conditionalFormatting sqref="E50">
    <cfRule type="cellIs" dxfId="5554" priority="3661" operator="equal">
      <formula>0</formula>
    </cfRule>
  </conditionalFormatting>
  <conditionalFormatting sqref="F48:F49">
    <cfRule type="cellIs" dxfId="5553" priority="3659" operator="equal">
      <formula>0</formula>
    </cfRule>
    <cfRule type="cellIs" dxfId="5552" priority="3660" operator="notEqual">
      <formula>0</formula>
    </cfRule>
  </conditionalFormatting>
  <conditionalFormatting sqref="F50">
    <cfRule type="cellIs" dxfId="5551" priority="3658" operator="equal">
      <formula>0</formula>
    </cfRule>
  </conditionalFormatting>
  <conditionalFormatting sqref="G48:G49">
    <cfRule type="cellIs" dxfId="5550" priority="3656" operator="equal">
      <formula>0</formula>
    </cfRule>
    <cfRule type="cellIs" dxfId="5549" priority="3657" operator="notEqual">
      <formula>0</formula>
    </cfRule>
  </conditionalFormatting>
  <conditionalFormatting sqref="G50">
    <cfRule type="cellIs" dxfId="5548" priority="3655" operator="equal">
      <formula>0</formula>
    </cfRule>
  </conditionalFormatting>
  <conditionalFormatting sqref="H48:H49">
    <cfRule type="cellIs" dxfId="5547" priority="3653" operator="equal">
      <formula>0</formula>
    </cfRule>
    <cfRule type="cellIs" dxfId="5546" priority="3654" operator="notEqual">
      <formula>0</formula>
    </cfRule>
  </conditionalFormatting>
  <conditionalFormatting sqref="H50">
    <cfRule type="cellIs" dxfId="5545" priority="3652" operator="equal">
      <formula>0</formula>
    </cfRule>
  </conditionalFormatting>
  <conditionalFormatting sqref="I48:I49">
    <cfRule type="cellIs" dxfId="5544" priority="3650" operator="equal">
      <formula>0</formula>
    </cfRule>
    <cfRule type="cellIs" dxfId="5543" priority="3651" operator="notEqual">
      <formula>0</formula>
    </cfRule>
  </conditionalFormatting>
  <conditionalFormatting sqref="I50">
    <cfRule type="cellIs" dxfId="5542" priority="3649" operator="equal">
      <formula>0</formula>
    </cfRule>
  </conditionalFormatting>
  <conditionalFormatting sqref="J48:J49">
    <cfRule type="cellIs" dxfId="5541" priority="3647" operator="equal">
      <formula>0</formula>
    </cfRule>
    <cfRule type="cellIs" dxfId="5540" priority="3648" operator="notEqual">
      <formula>0</formula>
    </cfRule>
  </conditionalFormatting>
  <conditionalFormatting sqref="J50">
    <cfRule type="cellIs" dxfId="5539" priority="3646" operator="equal">
      <formula>0</formula>
    </cfRule>
  </conditionalFormatting>
  <conditionalFormatting sqref="K48:K49">
    <cfRule type="cellIs" dxfId="5538" priority="3644" operator="equal">
      <formula>0</formula>
    </cfRule>
    <cfRule type="cellIs" dxfId="5537" priority="3645" operator="notEqual">
      <formula>0</formula>
    </cfRule>
  </conditionalFormatting>
  <conditionalFormatting sqref="K50">
    <cfRule type="cellIs" dxfId="5536" priority="3643" operator="equal">
      <formula>0</formula>
    </cfRule>
  </conditionalFormatting>
  <conditionalFormatting sqref="L50">
    <cfRule type="cellIs" dxfId="5535" priority="3642" operator="equal">
      <formula>0</formula>
    </cfRule>
  </conditionalFormatting>
  <conditionalFormatting sqref="M50">
    <cfRule type="cellIs" dxfId="5534" priority="3641" operator="equal">
      <formula>0</formula>
    </cfRule>
  </conditionalFormatting>
  <conditionalFormatting sqref="N50">
    <cfRule type="cellIs" dxfId="5533" priority="3640" operator="equal">
      <formula>0</formula>
    </cfRule>
  </conditionalFormatting>
  <conditionalFormatting sqref="O50">
    <cfRule type="cellIs" dxfId="5532" priority="3639" operator="equal">
      <formula>0</formula>
    </cfRule>
  </conditionalFormatting>
  <conditionalFormatting sqref="P47">
    <cfRule type="cellIs" dxfId="5531" priority="3637" operator="equal">
      <formula>0</formula>
    </cfRule>
    <cfRule type="cellIs" dxfId="5530" priority="3638" operator="notEqual">
      <formula>0</formula>
    </cfRule>
  </conditionalFormatting>
  <conditionalFormatting sqref="P50">
    <cfRule type="cellIs" dxfId="5529" priority="3636" operator="equal">
      <formula>0</formula>
    </cfRule>
  </conditionalFormatting>
  <conditionalFormatting sqref="Q47">
    <cfRule type="cellIs" dxfId="5528" priority="3634" operator="equal">
      <formula>0</formula>
    </cfRule>
    <cfRule type="cellIs" dxfId="5527" priority="3635" operator="notEqual">
      <formula>0</formula>
    </cfRule>
  </conditionalFormatting>
  <conditionalFormatting sqref="Q50">
    <cfRule type="cellIs" dxfId="5526" priority="3633" operator="equal">
      <formula>0</formula>
    </cfRule>
  </conditionalFormatting>
  <conditionalFormatting sqref="R47">
    <cfRule type="cellIs" dxfId="5525" priority="3631" operator="equal">
      <formula>0</formula>
    </cfRule>
    <cfRule type="cellIs" dxfId="5524" priority="3632" operator="notEqual">
      <formula>0</formula>
    </cfRule>
  </conditionalFormatting>
  <conditionalFormatting sqref="R50">
    <cfRule type="cellIs" dxfId="5523" priority="3630" operator="equal">
      <formula>0</formula>
    </cfRule>
  </conditionalFormatting>
  <conditionalFormatting sqref="S47">
    <cfRule type="cellIs" dxfId="5522" priority="3628" operator="equal">
      <formula>0</formula>
    </cfRule>
    <cfRule type="cellIs" dxfId="5521" priority="3629" operator="notEqual">
      <formula>0</formula>
    </cfRule>
  </conditionalFormatting>
  <conditionalFormatting sqref="S50">
    <cfRule type="cellIs" dxfId="5520" priority="3627" operator="equal">
      <formula>0</formula>
    </cfRule>
  </conditionalFormatting>
  <conditionalFormatting sqref="D53:D54">
    <cfRule type="cellIs" dxfId="5519" priority="3625" operator="equal">
      <formula>0</formula>
    </cfRule>
    <cfRule type="cellIs" dxfId="5518" priority="3626" operator="notEqual">
      <formula>0</formula>
    </cfRule>
  </conditionalFormatting>
  <conditionalFormatting sqref="D55:D56 E56:S56">
    <cfRule type="cellIs" dxfId="5517" priority="3624" operator="equal">
      <formula>0</formula>
    </cfRule>
  </conditionalFormatting>
  <conditionalFormatting sqref="E53:E54">
    <cfRule type="cellIs" dxfId="5516" priority="3622" operator="equal">
      <formula>0</formula>
    </cfRule>
    <cfRule type="cellIs" dxfId="5515" priority="3623" operator="notEqual">
      <formula>0</formula>
    </cfRule>
  </conditionalFormatting>
  <conditionalFormatting sqref="E55">
    <cfRule type="cellIs" dxfId="5514" priority="3621" operator="equal">
      <formula>0</formula>
    </cfRule>
  </conditionalFormatting>
  <conditionalFormatting sqref="F53:F54">
    <cfRule type="cellIs" dxfId="5513" priority="3619" operator="equal">
      <formula>0</formula>
    </cfRule>
    <cfRule type="cellIs" dxfId="5512" priority="3620" operator="notEqual">
      <formula>0</formula>
    </cfRule>
  </conditionalFormatting>
  <conditionalFormatting sqref="F55">
    <cfRule type="cellIs" dxfId="5511" priority="3618" operator="equal">
      <formula>0</formula>
    </cfRule>
  </conditionalFormatting>
  <conditionalFormatting sqref="G53:G54">
    <cfRule type="cellIs" dxfId="5510" priority="3616" operator="equal">
      <formula>0</formula>
    </cfRule>
    <cfRule type="cellIs" dxfId="5509" priority="3617" operator="notEqual">
      <formula>0</formula>
    </cfRule>
  </conditionalFormatting>
  <conditionalFormatting sqref="G55">
    <cfRule type="cellIs" dxfId="5508" priority="3615" operator="equal">
      <formula>0</formula>
    </cfRule>
  </conditionalFormatting>
  <conditionalFormatting sqref="H53:H54">
    <cfRule type="cellIs" dxfId="5507" priority="3613" operator="equal">
      <formula>0</formula>
    </cfRule>
    <cfRule type="cellIs" dxfId="5506" priority="3614" operator="notEqual">
      <formula>0</formula>
    </cfRule>
  </conditionalFormatting>
  <conditionalFormatting sqref="H55">
    <cfRule type="cellIs" dxfId="5505" priority="3612" operator="equal">
      <formula>0</formula>
    </cfRule>
  </conditionalFormatting>
  <conditionalFormatting sqref="I53:I54">
    <cfRule type="cellIs" dxfId="5504" priority="3610" operator="equal">
      <formula>0</formula>
    </cfRule>
    <cfRule type="cellIs" dxfId="5503" priority="3611" operator="notEqual">
      <formula>0</formula>
    </cfRule>
  </conditionalFormatting>
  <conditionalFormatting sqref="I55">
    <cfRule type="cellIs" dxfId="5502" priority="3609" operator="equal">
      <formula>0</formula>
    </cfRule>
  </conditionalFormatting>
  <conditionalFormatting sqref="J53:J54">
    <cfRule type="cellIs" dxfId="5501" priority="3607" operator="equal">
      <formula>0</formula>
    </cfRule>
    <cfRule type="cellIs" dxfId="5500" priority="3608" operator="notEqual">
      <formula>0</formula>
    </cfRule>
  </conditionalFormatting>
  <conditionalFormatting sqref="J55">
    <cfRule type="cellIs" dxfId="5499" priority="3606" operator="equal">
      <formula>0</formula>
    </cfRule>
  </conditionalFormatting>
  <conditionalFormatting sqref="K53:K54">
    <cfRule type="cellIs" dxfId="5498" priority="3604" operator="equal">
      <formula>0</formula>
    </cfRule>
    <cfRule type="cellIs" dxfId="5497" priority="3605" operator="notEqual">
      <formula>0</formula>
    </cfRule>
  </conditionalFormatting>
  <conditionalFormatting sqref="K55">
    <cfRule type="cellIs" dxfId="5496" priority="3603" operator="equal">
      <formula>0</formula>
    </cfRule>
  </conditionalFormatting>
  <conditionalFormatting sqref="L55">
    <cfRule type="cellIs" dxfId="5495" priority="3602" operator="equal">
      <formula>0</formula>
    </cfRule>
  </conditionalFormatting>
  <conditionalFormatting sqref="M55">
    <cfRule type="cellIs" dxfId="5494" priority="3601" operator="equal">
      <formula>0</formula>
    </cfRule>
  </conditionalFormatting>
  <conditionalFormatting sqref="N55">
    <cfRule type="cellIs" dxfId="5493" priority="3600" operator="equal">
      <formula>0</formula>
    </cfRule>
  </conditionalFormatting>
  <conditionalFormatting sqref="O55">
    <cfRule type="cellIs" dxfId="5492" priority="3599" operator="equal">
      <formula>0</formula>
    </cfRule>
  </conditionalFormatting>
  <conditionalFormatting sqref="P52">
    <cfRule type="cellIs" dxfId="5491" priority="3597" operator="equal">
      <formula>0</formula>
    </cfRule>
    <cfRule type="cellIs" dxfId="5490" priority="3598" operator="notEqual">
      <formula>0</formula>
    </cfRule>
  </conditionalFormatting>
  <conditionalFormatting sqref="P55">
    <cfRule type="cellIs" dxfId="5489" priority="3596" operator="equal">
      <formula>0</formula>
    </cfRule>
  </conditionalFormatting>
  <conditionalFormatting sqref="Q52">
    <cfRule type="cellIs" dxfId="5488" priority="3594" operator="equal">
      <formula>0</formula>
    </cfRule>
    <cfRule type="cellIs" dxfId="5487" priority="3595" operator="notEqual">
      <formula>0</formula>
    </cfRule>
  </conditionalFormatting>
  <conditionalFormatting sqref="Q55">
    <cfRule type="cellIs" dxfId="5486" priority="3593" operator="equal">
      <formula>0</formula>
    </cfRule>
  </conditionalFormatting>
  <conditionalFormatting sqref="R52">
    <cfRule type="cellIs" dxfId="5485" priority="3591" operator="equal">
      <formula>0</formula>
    </cfRule>
    <cfRule type="cellIs" dxfId="5484" priority="3592" operator="notEqual">
      <formula>0</formula>
    </cfRule>
  </conditionalFormatting>
  <conditionalFormatting sqref="R55">
    <cfRule type="cellIs" dxfId="5483" priority="3590" operator="equal">
      <formula>0</formula>
    </cfRule>
  </conditionalFormatting>
  <conditionalFormatting sqref="S52">
    <cfRule type="cellIs" dxfId="5482" priority="3588" operator="equal">
      <formula>0</formula>
    </cfRule>
    <cfRule type="cellIs" dxfId="5481" priority="3589" operator="notEqual">
      <formula>0</formula>
    </cfRule>
  </conditionalFormatting>
  <conditionalFormatting sqref="S55">
    <cfRule type="cellIs" dxfId="5480" priority="3587" operator="equal">
      <formula>0</formula>
    </cfRule>
  </conditionalFormatting>
  <conditionalFormatting sqref="D58:D59">
    <cfRule type="cellIs" dxfId="5479" priority="3585" operator="equal">
      <formula>0</formula>
    </cfRule>
    <cfRule type="cellIs" dxfId="5478" priority="3586" operator="notEqual">
      <formula>0</formula>
    </cfRule>
  </conditionalFormatting>
  <conditionalFormatting sqref="D60:D61 E61:S61">
    <cfRule type="cellIs" dxfId="5477" priority="3584" operator="equal">
      <formula>0</formula>
    </cfRule>
  </conditionalFormatting>
  <conditionalFormatting sqref="E58:E59">
    <cfRule type="cellIs" dxfId="5476" priority="3582" operator="equal">
      <formula>0</formula>
    </cfRule>
    <cfRule type="cellIs" dxfId="5475" priority="3583" operator="notEqual">
      <formula>0</formula>
    </cfRule>
  </conditionalFormatting>
  <conditionalFormatting sqref="E60">
    <cfRule type="cellIs" dxfId="5474" priority="3581" operator="equal">
      <formula>0</formula>
    </cfRule>
  </conditionalFormatting>
  <conditionalFormatting sqref="F58:F59">
    <cfRule type="cellIs" dxfId="5473" priority="3579" operator="equal">
      <formula>0</formula>
    </cfRule>
    <cfRule type="cellIs" dxfId="5472" priority="3580" operator="notEqual">
      <formula>0</formula>
    </cfRule>
  </conditionalFormatting>
  <conditionalFormatting sqref="F60">
    <cfRule type="cellIs" dxfId="5471" priority="3578" operator="equal">
      <formula>0</formula>
    </cfRule>
  </conditionalFormatting>
  <conditionalFormatting sqref="G58:G59">
    <cfRule type="cellIs" dxfId="5470" priority="3576" operator="equal">
      <formula>0</formula>
    </cfRule>
    <cfRule type="cellIs" dxfId="5469" priority="3577" operator="notEqual">
      <formula>0</formula>
    </cfRule>
  </conditionalFormatting>
  <conditionalFormatting sqref="G60">
    <cfRule type="cellIs" dxfId="5468" priority="3575" operator="equal">
      <formula>0</formula>
    </cfRule>
  </conditionalFormatting>
  <conditionalFormatting sqref="H58:H59">
    <cfRule type="cellIs" dxfId="5467" priority="3573" operator="equal">
      <formula>0</formula>
    </cfRule>
    <cfRule type="cellIs" dxfId="5466" priority="3574" operator="notEqual">
      <formula>0</formula>
    </cfRule>
  </conditionalFormatting>
  <conditionalFormatting sqref="H60">
    <cfRule type="cellIs" dxfId="5465" priority="3572" operator="equal">
      <formula>0</formula>
    </cfRule>
  </conditionalFormatting>
  <conditionalFormatting sqref="I58:I59">
    <cfRule type="cellIs" dxfId="5464" priority="3570" operator="equal">
      <formula>0</formula>
    </cfRule>
    <cfRule type="cellIs" dxfId="5463" priority="3571" operator="notEqual">
      <formula>0</formula>
    </cfRule>
  </conditionalFormatting>
  <conditionalFormatting sqref="I60">
    <cfRule type="cellIs" dxfId="5462" priority="3569" operator="equal">
      <formula>0</formula>
    </cfRule>
  </conditionalFormatting>
  <conditionalFormatting sqref="J58:J59">
    <cfRule type="cellIs" dxfId="5461" priority="3567" operator="equal">
      <formula>0</formula>
    </cfRule>
    <cfRule type="cellIs" dxfId="5460" priority="3568" operator="notEqual">
      <formula>0</formula>
    </cfRule>
  </conditionalFormatting>
  <conditionalFormatting sqref="J60">
    <cfRule type="cellIs" dxfId="5459" priority="3566" operator="equal">
      <formula>0</formula>
    </cfRule>
  </conditionalFormatting>
  <conditionalFormatting sqref="K58:K59">
    <cfRule type="cellIs" dxfId="5458" priority="3564" operator="equal">
      <formula>0</formula>
    </cfRule>
    <cfRule type="cellIs" dxfId="5457" priority="3565" operator="notEqual">
      <formula>0</formula>
    </cfRule>
  </conditionalFormatting>
  <conditionalFormatting sqref="K60">
    <cfRule type="cellIs" dxfId="5456" priority="3563" operator="equal">
      <formula>0</formula>
    </cfRule>
  </conditionalFormatting>
  <conditionalFormatting sqref="L60">
    <cfRule type="cellIs" dxfId="5455" priority="3562" operator="equal">
      <formula>0</formula>
    </cfRule>
  </conditionalFormatting>
  <conditionalFormatting sqref="M60">
    <cfRule type="cellIs" dxfId="5454" priority="3561" operator="equal">
      <formula>0</formula>
    </cfRule>
  </conditionalFormatting>
  <conditionalFormatting sqref="N60">
    <cfRule type="cellIs" dxfId="5453" priority="3560" operator="equal">
      <formula>0</formula>
    </cfRule>
  </conditionalFormatting>
  <conditionalFormatting sqref="O60">
    <cfRule type="cellIs" dxfId="5452" priority="3559" operator="equal">
      <formula>0</formula>
    </cfRule>
  </conditionalFormatting>
  <conditionalFormatting sqref="P57">
    <cfRule type="cellIs" dxfId="5451" priority="3557" operator="equal">
      <formula>0</formula>
    </cfRule>
    <cfRule type="cellIs" dxfId="5450" priority="3558" operator="notEqual">
      <formula>0</formula>
    </cfRule>
  </conditionalFormatting>
  <conditionalFormatting sqref="P60">
    <cfRule type="cellIs" dxfId="5449" priority="3556" operator="equal">
      <formula>0</formula>
    </cfRule>
  </conditionalFormatting>
  <conditionalFormatting sqref="Q57">
    <cfRule type="cellIs" dxfId="5448" priority="3554" operator="equal">
      <formula>0</formula>
    </cfRule>
    <cfRule type="cellIs" dxfId="5447" priority="3555" operator="notEqual">
      <formula>0</formula>
    </cfRule>
  </conditionalFormatting>
  <conditionalFormatting sqref="Q60">
    <cfRule type="cellIs" dxfId="5446" priority="3553" operator="equal">
      <formula>0</formula>
    </cfRule>
  </conditionalFormatting>
  <conditionalFormatting sqref="R57">
    <cfRule type="cellIs" dxfId="5445" priority="3551" operator="equal">
      <formula>0</formula>
    </cfRule>
    <cfRule type="cellIs" dxfId="5444" priority="3552" operator="notEqual">
      <formula>0</formula>
    </cfRule>
  </conditionalFormatting>
  <conditionalFormatting sqref="R60">
    <cfRule type="cellIs" dxfId="5443" priority="3550" operator="equal">
      <formula>0</formula>
    </cfRule>
  </conditionalFormatting>
  <conditionalFormatting sqref="S57">
    <cfRule type="cellIs" dxfId="5442" priority="3548" operator="equal">
      <formula>0</formula>
    </cfRule>
    <cfRule type="cellIs" dxfId="5441" priority="3549" operator="notEqual">
      <formula>0</formula>
    </cfRule>
  </conditionalFormatting>
  <conditionalFormatting sqref="S60">
    <cfRule type="cellIs" dxfId="5440" priority="3547" operator="equal">
      <formula>0</formula>
    </cfRule>
  </conditionalFormatting>
  <conditionalFormatting sqref="D63:D64">
    <cfRule type="cellIs" dxfId="5439" priority="3545" operator="equal">
      <formula>0</formula>
    </cfRule>
    <cfRule type="cellIs" dxfId="5438" priority="3546" operator="notEqual">
      <formula>0</formula>
    </cfRule>
  </conditionalFormatting>
  <conditionalFormatting sqref="D65:D66 E66:S66">
    <cfRule type="cellIs" dxfId="5437" priority="3544" operator="equal">
      <formula>0</formula>
    </cfRule>
  </conditionalFormatting>
  <conditionalFormatting sqref="E63:E64">
    <cfRule type="cellIs" dxfId="5436" priority="3542" operator="equal">
      <formula>0</formula>
    </cfRule>
    <cfRule type="cellIs" dxfId="5435" priority="3543" operator="notEqual">
      <formula>0</formula>
    </cfRule>
  </conditionalFormatting>
  <conditionalFormatting sqref="E65">
    <cfRule type="cellIs" dxfId="5434" priority="3541" operator="equal">
      <formula>0</formula>
    </cfRule>
  </conditionalFormatting>
  <conditionalFormatting sqref="F63:F64">
    <cfRule type="cellIs" dxfId="5433" priority="3539" operator="equal">
      <formula>0</formula>
    </cfRule>
    <cfRule type="cellIs" dxfId="5432" priority="3540" operator="notEqual">
      <formula>0</formula>
    </cfRule>
  </conditionalFormatting>
  <conditionalFormatting sqref="F65">
    <cfRule type="cellIs" dxfId="5431" priority="3538" operator="equal">
      <formula>0</formula>
    </cfRule>
  </conditionalFormatting>
  <conditionalFormatting sqref="G63:G64">
    <cfRule type="cellIs" dxfId="5430" priority="3536" operator="equal">
      <formula>0</formula>
    </cfRule>
    <cfRule type="cellIs" dxfId="5429" priority="3537" operator="notEqual">
      <formula>0</formula>
    </cfRule>
  </conditionalFormatting>
  <conditionalFormatting sqref="G65">
    <cfRule type="cellIs" dxfId="5428" priority="3535" operator="equal">
      <formula>0</formula>
    </cfRule>
  </conditionalFormatting>
  <conditionalFormatting sqref="H63:H64">
    <cfRule type="cellIs" dxfId="5427" priority="3533" operator="equal">
      <formula>0</formula>
    </cfRule>
    <cfRule type="cellIs" dxfId="5426" priority="3534" operator="notEqual">
      <formula>0</formula>
    </cfRule>
  </conditionalFormatting>
  <conditionalFormatting sqref="H65">
    <cfRule type="cellIs" dxfId="5425" priority="3532" operator="equal">
      <formula>0</formula>
    </cfRule>
  </conditionalFormatting>
  <conditionalFormatting sqref="I63:I64">
    <cfRule type="cellIs" dxfId="5424" priority="3530" operator="equal">
      <formula>0</formula>
    </cfRule>
    <cfRule type="cellIs" dxfId="5423" priority="3531" operator="notEqual">
      <formula>0</formula>
    </cfRule>
  </conditionalFormatting>
  <conditionalFormatting sqref="I65">
    <cfRule type="cellIs" dxfId="5422" priority="3529" operator="equal">
      <formula>0</formula>
    </cfRule>
  </conditionalFormatting>
  <conditionalFormatting sqref="J63:J64">
    <cfRule type="cellIs" dxfId="5421" priority="3527" operator="equal">
      <formula>0</formula>
    </cfRule>
    <cfRule type="cellIs" dxfId="5420" priority="3528" operator="notEqual">
      <formula>0</formula>
    </cfRule>
  </conditionalFormatting>
  <conditionalFormatting sqref="J65">
    <cfRule type="cellIs" dxfId="5419" priority="3526" operator="equal">
      <formula>0</formula>
    </cfRule>
  </conditionalFormatting>
  <conditionalFormatting sqref="K63:K64">
    <cfRule type="cellIs" dxfId="5418" priority="3524" operator="equal">
      <formula>0</formula>
    </cfRule>
    <cfRule type="cellIs" dxfId="5417" priority="3525" operator="notEqual">
      <formula>0</formula>
    </cfRule>
  </conditionalFormatting>
  <conditionalFormatting sqref="K65">
    <cfRule type="cellIs" dxfId="5416" priority="3523" operator="equal">
      <formula>0</formula>
    </cfRule>
  </conditionalFormatting>
  <conditionalFormatting sqref="L65">
    <cfRule type="cellIs" dxfId="5415" priority="3522" operator="equal">
      <formula>0</formula>
    </cfRule>
  </conditionalFormatting>
  <conditionalFormatting sqref="M65">
    <cfRule type="cellIs" dxfId="5414" priority="3521" operator="equal">
      <formula>0</formula>
    </cfRule>
  </conditionalFormatting>
  <conditionalFormatting sqref="N65">
    <cfRule type="cellIs" dxfId="5413" priority="3520" operator="equal">
      <formula>0</formula>
    </cfRule>
  </conditionalFormatting>
  <conditionalFormatting sqref="O65">
    <cfRule type="cellIs" dxfId="5412" priority="3519" operator="equal">
      <formula>0</formula>
    </cfRule>
  </conditionalFormatting>
  <conditionalFormatting sqref="P62">
    <cfRule type="cellIs" dxfId="5411" priority="3517" operator="equal">
      <formula>0</formula>
    </cfRule>
    <cfRule type="cellIs" dxfId="5410" priority="3518" operator="notEqual">
      <formula>0</formula>
    </cfRule>
  </conditionalFormatting>
  <conditionalFormatting sqref="P65">
    <cfRule type="cellIs" dxfId="5409" priority="3516" operator="equal">
      <formula>0</formula>
    </cfRule>
  </conditionalFormatting>
  <conditionalFormatting sqref="Q62">
    <cfRule type="cellIs" dxfId="5408" priority="3514" operator="equal">
      <formula>0</formula>
    </cfRule>
    <cfRule type="cellIs" dxfId="5407" priority="3515" operator="notEqual">
      <formula>0</formula>
    </cfRule>
  </conditionalFormatting>
  <conditionalFormatting sqref="Q65">
    <cfRule type="cellIs" dxfId="5406" priority="3513" operator="equal">
      <formula>0</formula>
    </cfRule>
  </conditionalFormatting>
  <conditionalFormatting sqref="R62">
    <cfRule type="cellIs" dxfId="5405" priority="3511" operator="equal">
      <formula>0</formula>
    </cfRule>
    <cfRule type="cellIs" dxfId="5404" priority="3512" operator="notEqual">
      <formula>0</formula>
    </cfRule>
  </conditionalFormatting>
  <conditionalFormatting sqref="R65">
    <cfRule type="cellIs" dxfId="5403" priority="3510" operator="equal">
      <formula>0</formula>
    </cfRule>
  </conditionalFormatting>
  <conditionalFormatting sqref="S62">
    <cfRule type="cellIs" dxfId="5402" priority="3508" operator="equal">
      <formula>0</formula>
    </cfRule>
    <cfRule type="cellIs" dxfId="5401" priority="3509" operator="notEqual">
      <formula>0</formula>
    </cfRule>
  </conditionalFormatting>
  <conditionalFormatting sqref="S65">
    <cfRule type="cellIs" dxfId="5400" priority="3507" operator="equal">
      <formula>0</formula>
    </cfRule>
  </conditionalFormatting>
  <conditionalFormatting sqref="D70:D71 E71:S71">
    <cfRule type="cellIs" dxfId="5399" priority="3506" operator="equal">
      <formula>0</formula>
    </cfRule>
  </conditionalFormatting>
  <conditionalFormatting sqref="E70">
    <cfRule type="cellIs" dxfId="5398" priority="3505" operator="equal">
      <formula>0</formula>
    </cfRule>
  </conditionalFormatting>
  <conditionalFormatting sqref="F70">
    <cfRule type="cellIs" dxfId="5397" priority="3504" operator="equal">
      <formula>0</formula>
    </cfRule>
  </conditionalFormatting>
  <conditionalFormatting sqref="G70">
    <cfRule type="cellIs" dxfId="5396" priority="3503" operator="equal">
      <formula>0</formula>
    </cfRule>
  </conditionalFormatting>
  <conditionalFormatting sqref="H70">
    <cfRule type="cellIs" dxfId="5395" priority="3502" operator="equal">
      <formula>0</formula>
    </cfRule>
  </conditionalFormatting>
  <conditionalFormatting sqref="I70">
    <cfRule type="cellIs" dxfId="5394" priority="3501" operator="equal">
      <formula>0</formula>
    </cfRule>
  </conditionalFormatting>
  <conditionalFormatting sqref="J70">
    <cfRule type="cellIs" dxfId="5393" priority="3500" operator="equal">
      <formula>0</formula>
    </cfRule>
  </conditionalFormatting>
  <conditionalFormatting sqref="K70">
    <cfRule type="cellIs" dxfId="5392" priority="3499" operator="equal">
      <formula>0</formula>
    </cfRule>
  </conditionalFormatting>
  <conditionalFormatting sqref="L70">
    <cfRule type="cellIs" dxfId="5391" priority="3498" operator="equal">
      <formula>0</formula>
    </cfRule>
  </conditionalFormatting>
  <conditionalFormatting sqref="M70">
    <cfRule type="cellIs" dxfId="5390" priority="3497" operator="equal">
      <formula>0</formula>
    </cfRule>
  </conditionalFormatting>
  <conditionalFormatting sqref="N70">
    <cfRule type="cellIs" dxfId="5389" priority="3496" operator="equal">
      <formula>0</formula>
    </cfRule>
  </conditionalFormatting>
  <conditionalFormatting sqref="O70">
    <cfRule type="cellIs" dxfId="5388" priority="3495" operator="equal">
      <formula>0</formula>
    </cfRule>
  </conditionalFormatting>
  <conditionalFormatting sqref="P70">
    <cfRule type="cellIs" dxfId="5387" priority="3494" operator="equal">
      <formula>0</formula>
    </cfRule>
  </conditionalFormatting>
  <conditionalFormatting sqref="Q70">
    <cfRule type="cellIs" dxfId="5386" priority="3493" operator="equal">
      <formula>0</formula>
    </cfRule>
  </conditionalFormatting>
  <conditionalFormatting sqref="R70">
    <cfRule type="cellIs" dxfId="5385" priority="3492" operator="equal">
      <formula>0</formula>
    </cfRule>
  </conditionalFormatting>
  <conditionalFormatting sqref="S70">
    <cfRule type="cellIs" dxfId="5384" priority="3491" operator="equal">
      <formula>0</formula>
    </cfRule>
  </conditionalFormatting>
  <conditionalFormatting sqref="P147">
    <cfRule type="cellIs" dxfId="5383" priority="3225" operator="equal">
      <formula>0</formula>
    </cfRule>
    <cfRule type="cellIs" dxfId="5382" priority="3226" operator="notEqual">
      <formula>0</formula>
    </cfRule>
  </conditionalFormatting>
  <conditionalFormatting sqref="P172 P177 P187 P192">
    <cfRule type="cellIs" dxfId="5381" priority="3223" operator="equal">
      <formula>0</formula>
    </cfRule>
    <cfRule type="cellIs" dxfId="5380" priority="3224" operator="notEqual">
      <formula>0</formula>
    </cfRule>
  </conditionalFormatting>
  <conditionalFormatting sqref="P150 P175 P180 P190 P195 P210">
    <cfRule type="cellIs" dxfId="5379" priority="3222" operator="equal">
      <formula>0</formula>
    </cfRule>
  </conditionalFormatting>
  <conditionalFormatting sqref="P152">
    <cfRule type="cellIs" dxfId="5378" priority="3220" operator="equal">
      <formula>0</formula>
    </cfRule>
    <cfRule type="cellIs" dxfId="5377" priority="3221" operator="notEqual">
      <formula>0</formula>
    </cfRule>
  </conditionalFormatting>
  <conditionalFormatting sqref="P155">
    <cfRule type="cellIs" dxfId="5376" priority="3219" operator="equal">
      <formula>0</formula>
    </cfRule>
  </conditionalFormatting>
  <conditionalFormatting sqref="P157">
    <cfRule type="cellIs" dxfId="5375" priority="3217" operator="equal">
      <formula>0</formula>
    </cfRule>
    <cfRule type="cellIs" dxfId="5374" priority="3218" operator="notEqual">
      <formula>0</formula>
    </cfRule>
  </conditionalFormatting>
  <conditionalFormatting sqref="P160">
    <cfRule type="cellIs" dxfId="5373" priority="3216" operator="equal">
      <formula>0</formula>
    </cfRule>
  </conditionalFormatting>
  <conditionalFormatting sqref="P162">
    <cfRule type="cellIs" dxfId="5372" priority="3214" operator="equal">
      <formula>0</formula>
    </cfRule>
    <cfRule type="cellIs" dxfId="5371" priority="3215" operator="notEqual">
      <formula>0</formula>
    </cfRule>
  </conditionalFormatting>
  <conditionalFormatting sqref="P165">
    <cfRule type="cellIs" dxfId="5370" priority="3213" operator="equal">
      <formula>0</formula>
    </cfRule>
  </conditionalFormatting>
  <conditionalFormatting sqref="P167">
    <cfRule type="cellIs" dxfId="5369" priority="3211" operator="equal">
      <formula>0</formula>
    </cfRule>
    <cfRule type="cellIs" dxfId="5368" priority="3212" operator="notEqual">
      <formula>0</formula>
    </cfRule>
  </conditionalFormatting>
  <conditionalFormatting sqref="P170">
    <cfRule type="cellIs" dxfId="5367" priority="3210" operator="equal">
      <formula>0</formula>
    </cfRule>
  </conditionalFormatting>
  <conditionalFormatting sqref="P200">
    <cfRule type="cellIs" dxfId="5366" priority="3207" operator="equal">
      <formula>0</formula>
    </cfRule>
  </conditionalFormatting>
  <conditionalFormatting sqref="P205">
    <cfRule type="cellIs" dxfId="5365" priority="3204" operator="equal">
      <formula>0</formula>
    </cfRule>
  </conditionalFormatting>
  <conditionalFormatting sqref="P197">
    <cfRule type="cellIs" dxfId="5364" priority="3208" operator="equal">
      <formula>0</formula>
    </cfRule>
    <cfRule type="cellIs" dxfId="5363" priority="3209" operator="notEqual">
      <formula>0</formula>
    </cfRule>
  </conditionalFormatting>
  <conditionalFormatting sqref="P202">
    <cfRule type="cellIs" dxfId="5362" priority="3205" operator="equal">
      <formula>0</formula>
    </cfRule>
    <cfRule type="cellIs" dxfId="5361" priority="3206" operator="notEqual">
      <formula>0</formula>
    </cfRule>
  </conditionalFormatting>
  <conditionalFormatting sqref="P182">
    <cfRule type="cellIs" dxfId="5360" priority="3202" operator="equal">
      <formula>0</formula>
    </cfRule>
    <cfRule type="cellIs" dxfId="5359" priority="3203" operator="notEqual">
      <formula>0</formula>
    </cfRule>
  </conditionalFormatting>
  <conditionalFormatting sqref="P185">
    <cfRule type="cellIs" dxfId="5358" priority="3201" operator="equal">
      <formula>0</formula>
    </cfRule>
  </conditionalFormatting>
  <conditionalFormatting sqref="Q147">
    <cfRule type="cellIs" dxfId="5357" priority="3199" operator="equal">
      <formula>0</formula>
    </cfRule>
    <cfRule type="cellIs" dxfId="5356" priority="3200" operator="notEqual">
      <formula>0</formula>
    </cfRule>
  </conditionalFormatting>
  <conditionalFormatting sqref="Q172 Q177 Q187 Q192">
    <cfRule type="cellIs" dxfId="5355" priority="3197" operator="equal">
      <formula>0</formula>
    </cfRule>
    <cfRule type="cellIs" dxfId="5354" priority="3198" operator="notEqual">
      <formula>0</formula>
    </cfRule>
  </conditionalFormatting>
  <conditionalFormatting sqref="Q150 Q175 Q180 Q190 Q195 Q210">
    <cfRule type="cellIs" dxfId="5353" priority="3196" operator="equal">
      <formula>0</formula>
    </cfRule>
  </conditionalFormatting>
  <conditionalFormatting sqref="Q152">
    <cfRule type="cellIs" dxfId="5352" priority="3194" operator="equal">
      <formula>0</formula>
    </cfRule>
    <cfRule type="cellIs" dxfId="5351" priority="3195" operator="notEqual">
      <formula>0</formula>
    </cfRule>
  </conditionalFormatting>
  <conditionalFormatting sqref="Q155">
    <cfRule type="cellIs" dxfId="5350" priority="3193" operator="equal">
      <formula>0</formula>
    </cfRule>
  </conditionalFormatting>
  <conditionalFormatting sqref="Q157">
    <cfRule type="cellIs" dxfId="5349" priority="3191" operator="equal">
      <formula>0</formula>
    </cfRule>
    <cfRule type="cellIs" dxfId="5348" priority="3192" operator="notEqual">
      <formula>0</formula>
    </cfRule>
  </conditionalFormatting>
  <conditionalFormatting sqref="Q160">
    <cfRule type="cellIs" dxfId="5347" priority="3190" operator="equal">
      <formula>0</formula>
    </cfRule>
  </conditionalFormatting>
  <conditionalFormatting sqref="Q162">
    <cfRule type="cellIs" dxfId="5346" priority="3188" operator="equal">
      <formula>0</formula>
    </cfRule>
    <cfRule type="cellIs" dxfId="5345" priority="3189" operator="notEqual">
      <formula>0</formula>
    </cfRule>
  </conditionalFormatting>
  <conditionalFormatting sqref="Q165">
    <cfRule type="cellIs" dxfId="5344" priority="3187" operator="equal">
      <formula>0</formula>
    </cfRule>
  </conditionalFormatting>
  <conditionalFormatting sqref="Q167">
    <cfRule type="cellIs" dxfId="5343" priority="3185" operator="equal">
      <formula>0</formula>
    </cfRule>
    <cfRule type="cellIs" dxfId="5342" priority="3186" operator="notEqual">
      <formula>0</formula>
    </cfRule>
  </conditionalFormatting>
  <conditionalFormatting sqref="Q170">
    <cfRule type="cellIs" dxfId="5341" priority="3184" operator="equal">
      <formula>0</formula>
    </cfRule>
  </conditionalFormatting>
  <conditionalFormatting sqref="Q200">
    <cfRule type="cellIs" dxfId="5340" priority="3181" operator="equal">
      <formula>0</formula>
    </cfRule>
  </conditionalFormatting>
  <conditionalFormatting sqref="Q205">
    <cfRule type="cellIs" dxfId="5339" priority="3178" operator="equal">
      <formula>0</formula>
    </cfRule>
  </conditionalFormatting>
  <conditionalFormatting sqref="Q197">
    <cfRule type="cellIs" dxfId="5338" priority="3182" operator="equal">
      <formula>0</formula>
    </cfRule>
    <cfRule type="cellIs" dxfId="5337" priority="3183" operator="notEqual">
      <formula>0</formula>
    </cfRule>
  </conditionalFormatting>
  <conditionalFormatting sqref="Q202">
    <cfRule type="cellIs" dxfId="5336" priority="3179" operator="equal">
      <formula>0</formula>
    </cfRule>
    <cfRule type="cellIs" dxfId="5335" priority="3180" operator="notEqual">
      <formula>0</formula>
    </cfRule>
  </conditionalFormatting>
  <conditionalFormatting sqref="Q182">
    <cfRule type="cellIs" dxfId="5334" priority="3176" operator="equal">
      <formula>0</formula>
    </cfRule>
    <cfRule type="cellIs" dxfId="5333" priority="3177" operator="notEqual">
      <formula>0</formula>
    </cfRule>
  </conditionalFormatting>
  <conditionalFormatting sqref="Q185">
    <cfRule type="cellIs" dxfId="5332" priority="3175" operator="equal">
      <formula>0</formula>
    </cfRule>
  </conditionalFormatting>
  <conditionalFormatting sqref="R147">
    <cfRule type="cellIs" dxfId="5331" priority="3173" operator="equal">
      <formula>0</formula>
    </cfRule>
    <cfRule type="cellIs" dxfId="5330" priority="3174" operator="notEqual">
      <formula>0</formula>
    </cfRule>
  </conditionalFormatting>
  <conditionalFormatting sqref="R172 R177 R187 R192">
    <cfRule type="cellIs" dxfId="5329" priority="3171" operator="equal">
      <formula>0</formula>
    </cfRule>
    <cfRule type="cellIs" dxfId="5328" priority="3172" operator="notEqual">
      <formula>0</formula>
    </cfRule>
  </conditionalFormatting>
  <conditionalFormatting sqref="R150 R175 R180 R190 R195 R210">
    <cfRule type="cellIs" dxfId="5327" priority="3170" operator="equal">
      <formula>0</formula>
    </cfRule>
  </conditionalFormatting>
  <conditionalFormatting sqref="R152">
    <cfRule type="cellIs" dxfId="5326" priority="3168" operator="equal">
      <formula>0</formula>
    </cfRule>
    <cfRule type="cellIs" dxfId="5325" priority="3169" operator="notEqual">
      <formula>0</formula>
    </cfRule>
  </conditionalFormatting>
  <conditionalFormatting sqref="R155">
    <cfRule type="cellIs" dxfId="5324" priority="3167" operator="equal">
      <formula>0</formula>
    </cfRule>
  </conditionalFormatting>
  <conditionalFormatting sqref="R157">
    <cfRule type="cellIs" dxfId="5323" priority="3165" operator="equal">
      <formula>0</formula>
    </cfRule>
    <cfRule type="cellIs" dxfId="5322" priority="3166" operator="notEqual">
      <formula>0</formula>
    </cfRule>
  </conditionalFormatting>
  <conditionalFormatting sqref="R160">
    <cfRule type="cellIs" dxfId="5321" priority="3164" operator="equal">
      <formula>0</formula>
    </cfRule>
  </conditionalFormatting>
  <conditionalFormatting sqref="R162">
    <cfRule type="cellIs" dxfId="5320" priority="3162" operator="equal">
      <formula>0</formula>
    </cfRule>
    <cfRule type="cellIs" dxfId="5319" priority="3163" operator="notEqual">
      <formula>0</formula>
    </cfRule>
  </conditionalFormatting>
  <conditionalFormatting sqref="R165">
    <cfRule type="cellIs" dxfId="5318" priority="3161" operator="equal">
      <formula>0</formula>
    </cfRule>
  </conditionalFormatting>
  <conditionalFormatting sqref="R167">
    <cfRule type="cellIs" dxfId="5317" priority="3159" operator="equal">
      <formula>0</formula>
    </cfRule>
    <cfRule type="cellIs" dxfId="5316" priority="3160" operator="notEqual">
      <formula>0</formula>
    </cfRule>
  </conditionalFormatting>
  <conditionalFormatting sqref="R170">
    <cfRule type="cellIs" dxfId="5315" priority="3158" operator="equal">
      <formula>0</formula>
    </cfRule>
  </conditionalFormatting>
  <conditionalFormatting sqref="R200">
    <cfRule type="cellIs" dxfId="5314" priority="3155" operator="equal">
      <formula>0</formula>
    </cfRule>
  </conditionalFormatting>
  <conditionalFormatting sqref="R205">
    <cfRule type="cellIs" dxfId="5313" priority="3152" operator="equal">
      <formula>0</formula>
    </cfRule>
  </conditionalFormatting>
  <conditionalFormatting sqref="R197">
    <cfRule type="cellIs" dxfId="5312" priority="3156" operator="equal">
      <formula>0</formula>
    </cfRule>
    <cfRule type="cellIs" dxfId="5311" priority="3157" operator="notEqual">
      <formula>0</formula>
    </cfRule>
  </conditionalFormatting>
  <conditionalFormatting sqref="R202">
    <cfRule type="cellIs" dxfId="5310" priority="3153" operator="equal">
      <formula>0</formula>
    </cfRule>
    <cfRule type="cellIs" dxfId="5309" priority="3154" operator="notEqual">
      <formula>0</formula>
    </cfRule>
  </conditionalFormatting>
  <conditionalFormatting sqref="R182">
    <cfRule type="cellIs" dxfId="5308" priority="3150" operator="equal">
      <formula>0</formula>
    </cfRule>
    <cfRule type="cellIs" dxfId="5307" priority="3151" operator="notEqual">
      <formula>0</formula>
    </cfRule>
  </conditionalFormatting>
  <conditionalFormatting sqref="R185">
    <cfRule type="cellIs" dxfId="5306" priority="3149" operator="equal">
      <formula>0</formula>
    </cfRule>
  </conditionalFormatting>
  <conditionalFormatting sqref="S147">
    <cfRule type="cellIs" dxfId="5305" priority="3147" operator="equal">
      <formula>0</formula>
    </cfRule>
    <cfRule type="cellIs" dxfId="5304" priority="3148" operator="notEqual">
      <formula>0</formula>
    </cfRule>
  </conditionalFormatting>
  <conditionalFormatting sqref="S172 S177 S187 S192">
    <cfRule type="cellIs" dxfId="5303" priority="3145" operator="equal">
      <formula>0</formula>
    </cfRule>
    <cfRule type="cellIs" dxfId="5302" priority="3146" operator="notEqual">
      <formula>0</formula>
    </cfRule>
  </conditionalFormatting>
  <conditionalFormatting sqref="S150 S175 S180 S190 S195 S210">
    <cfRule type="cellIs" dxfId="5301" priority="3144" operator="equal">
      <formula>0</formula>
    </cfRule>
  </conditionalFormatting>
  <conditionalFormatting sqref="S152">
    <cfRule type="cellIs" dxfId="5300" priority="3142" operator="equal">
      <formula>0</formula>
    </cfRule>
    <cfRule type="cellIs" dxfId="5299" priority="3143" operator="notEqual">
      <formula>0</formula>
    </cfRule>
  </conditionalFormatting>
  <conditionalFormatting sqref="S155">
    <cfRule type="cellIs" dxfId="5298" priority="3141" operator="equal">
      <formula>0</formula>
    </cfRule>
  </conditionalFormatting>
  <conditionalFormatting sqref="S157">
    <cfRule type="cellIs" dxfId="5297" priority="3139" operator="equal">
      <formula>0</formula>
    </cfRule>
    <cfRule type="cellIs" dxfId="5296" priority="3140" operator="notEqual">
      <formula>0</formula>
    </cfRule>
  </conditionalFormatting>
  <conditionalFormatting sqref="S160">
    <cfRule type="cellIs" dxfId="5295" priority="3138" operator="equal">
      <formula>0</formula>
    </cfRule>
  </conditionalFormatting>
  <conditionalFormatting sqref="S162">
    <cfRule type="cellIs" dxfId="5294" priority="3136" operator="equal">
      <formula>0</formula>
    </cfRule>
    <cfRule type="cellIs" dxfId="5293" priority="3137" operator="notEqual">
      <formula>0</formula>
    </cfRule>
  </conditionalFormatting>
  <conditionalFormatting sqref="S165">
    <cfRule type="cellIs" dxfId="5292" priority="3135" operator="equal">
      <formula>0</formula>
    </cfRule>
  </conditionalFormatting>
  <conditionalFormatting sqref="S167">
    <cfRule type="cellIs" dxfId="5291" priority="3133" operator="equal">
      <formula>0</formula>
    </cfRule>
    <cfRule type="cellIs" dxfId="5290" priority="3134" operator="notEqual">
      <formula>0</formula>
    </cfRule>
  </conditionalFormatting>
  <conditionalFormatting sqref="S170">
    <cfRule type="cellIs" dxfId="5289" priority="3132" operator="equal">
      <formula>0</formula>
    </cfRule>
  </conditionalFormatting>
  <conditionalFormatting sqref="S200">
    <cfRule type="cellIs" dxfId="5288" priority="3129" operator="equal">
      <formula>0</formula>
    </cfRule>
  </conditionalFormatting>
  <conditionalFormatting sqref="S205">
    <cfRule type="cellIs" dxfId="5287" priority="3126" operator="equal">
      <formula>0</formula>
    </cfRule>
  </conditionalFormatting>
  <conditionalFormatting sqref="S197">
    <cfRule type="cellIs" dxfId="5286" priority="3130" operator="equal">
      <formula>0</formula>
    </cfRule>
    <cfRule type="cellIs" dxfId="5285" priority="3131" operator="notEqual">
      <formula>0</formula>
    </cfRule>
  </conditionalFormatting>
  <conditionalFormatting sqref="S202">
    <cfRule type="cellIs" dxfId="5284" priority="3127" operator="equal">
      <formula>0</formula>
    </cfRule>
    <cfRule type="cellIs" dxfId="5283" priority="3128" operator="notEqual">
      <formula>0</formula>
    </cfRule>
  </conditionalFormatting>
  <conditionalFormatting sqref="S182">
    <cfRule type="cellIs" dxfId="5282" priority="3124" operator="equal">
      <formula>0</formula>
    </cfRule>
    <cfRule type="cellIs" dxfId="5281" priority="3125" operator="notEqual">
      <formula>0</formula>
    </cfRule>
  </conditionalFormatting>
  <conditionalFormatting sqref="S185">
    <cfRule type="cellIs" dxfId="5280" priority="3123" operator="equal">
      <formula>0</formula>
    </cfRule>
  </conditionalFormatting>
  <conditionalFormatting sqref="D148:D149">
    <cfRule type="cellIs" dxfId="5279" priority="3121" operator="equal">
      <formula>0</formula>
    </cfRule>
    <cfRule type="cellIs" dxfId="5278" priority="3122" operator="notEqual">
      <formula>0</formula>
    </cfRule>
  </conditionalFormatting>
  <conditionalFormatting sqref="D153:D154 D158:D159 D168:D169 D193:D194 D198:D199 D203:D204">
    <cfRule type="cellIs" dxfId="5277" priority="3119" operator="equal">
      <formula>0</formula>
    </cfRule>
    <cfRule type="cellIs" dxfId="5276" priority="3120" operator="notEqual">
      <formula>0</formula>
    </cfRule>
  </conditionalFormatting>
  <conditionalFormatting sqref="D150:D151 E151:S151 D155:D156 E156:S156 D160:D161 E161:S161 D170:D171 E171:S171 D195:D196 E196:S196 D200:D201 E201:S201 D205:D206 E206:S206 D210:D211 E211:S211">
    <cfRule type="cellIs" dxfId="5275" priority="3118" operator="equal">
      <formula>0</formula>
    </cfRule>
  </conditionalFormatting>
  <conditionalFormatting sqref="D175:D176 E176:S176">
    <cfRule type="cellIs" dxfId="5274" priority="3115" operator="equal">
      <formula>0</formula>
    </cfRule>
  </conditionalFormatting>
  <conditionalFormatting sqref="D165:D166 E166:S166">
    <cfRule type="cellIs" dxfId="5273" priority="3112" operator="equal">
      <formula>0</formula>
    </cfRule>
  </conditionalFormatting>
  <conditionalFormatting sqref="D173:D174">
    <cfRule type="cellIs" dxfId="5272" priority="3116" operator="equal">
      <formula>0</formula>
    </cfRule>
    <cfRule type="cellIs" dxfId="5271" priority="3117" operator="notEqual">
      <formula>0</formula>
    </cfRule>
  </conditionalFormatting>
  <conditionalFormatting sqref="D190:D191 E191:S191">
    <cfRule type="cellIs" dxfId="5270" priority="3109" operator="equal">
      <formula>0</formula>
    </cfRule>
  </conditionalFormatting>
  <conditionalFormatting sqref="D163:D164">
    <cfRule type="cellIs" dxfId="5269" priority="3113" operator="equal">
      <formula>0</formula>
    </cfRule>
    <cfRule type="cellIs" dxfId="5268" priority="3114" operator="notEqual">
      <formula>0</formula>
    </cfRule>
  </conditionalFormatting>
  <conditionalFormatting sqref="D180:D181 E181:S181">
    <cfRule type="cellIs" dxfId="5267" priority="3106" operator="equal">
      <formula>0</formula>
    </cfRule>
  </conditionalFormatting>
  <conditionalFormatting sqref="D188:D189">
    <cfRule type="cellIs" dxfId="5266" priority="3110" operator="equal">
      <formula>0</formula>
    </cfRule>
    <cfRule type="cellIs" dxfId="5265" priority="3111" operator="notEqual">
      <formula>0</formula>
    </cfRule>
  </conditionalFormatting>
  <conditionalFormatting sqref="D178:D179">
    <cfRule type="cellIs" dxfId="5264" priority="3107" operator="equal">
      <formula>0</formula>
    </cfRule>
    <cfRule type="cellIs" dxfId="5263" priority="3108" operator="notEqual">
      <formula>0</formula>
    </cfRule>
  </conditionalFormatting>
  <conditionalFormatting sqref="D185:D186 E186:S186">
    <cfRule type="cellIs" dxfId="5262" priority="3103" operator="equal">
      <formula>0</formula>
    </cfRule>
  </conditionalFormatting>
  <conditionalFormatting sqref="D183:D184">
    <cfRule type="cellIs" dxfId="5261" priority="3104" operator="equal">
      <formula>0</formula>
    </cfRule>
    <cfRule type="cellIs" dxfId="5260" priority="3105" operator="notEqual">
      <formula>0</formula>
    </cfRule>
  </conditionalFormatting>
  <conditionalFormatting sqref="E148:E149">
    <cfRule type="cellIs" dxfId="5259" priority="3101" operator="equal">
      <formula>0</formula>
    </cfRule>
    <cfRule type="cellIs" dxfId="5258" priority="3102" operator="notEqual">
      <formula>0</formula>
    </cfRule>
  </conditionalFormatting>
  <conditionalFormatting sqref="E153:E154 E158:E159 E168:E169 E193:E194 E198:E199 E203:E204">
    <cfRule type="cellIs" dxfId="5257" priority="3099" operator="equal">
      <formula>0</formula>
    </cfRule>
    <cfRule type="cellIs" dxfId="5256" priority="3100" operator="notEqual">
      <formula>0</formula>
    </cfRule>
  </conditionalFormatting>
  <conditionalFormatting sqref="E150 E155 E160 E170 E195 E200 E205 E210">
    <cfRule type="cellIs" dxfId="5255" priority="3098" operator="equal">
      <formula>0</formula>
    </cfRule>
  </conditionalFormatting>
  <conditionalFormatting sqref="E175">
    <cfRule type="cellIs" dxfId="5254" priority="3095" operator="equal">
      <formula>0</formula>
    </cfRule>
  </conditionalFormatting>
  <conditionalFormatting sqref="E165">
    <cfRule type="cellIs" dxfId="5253" priority="3092" operator="equal">
      <formula>0</formula>
    </cfRule>
  </conditionalFormatting>
  <conditionalFormatting sqref="E173:E174">
    <cfRule type="cellIs" dxfId="5252" priority="3096" operator="equal">
      <formula>0</formula>
    </cfRule>
    <cfRule type="cellIs" dxfId="5251" priority="3097" operator="notEqual">
      <formula>0</formula>
    </cfRule>
  </conditionalFormatting>
  <conditionalFormatting sqref="E190">
    <cfRule type="cellIs" dxfId="5250" priority="3089" operator="equal">
      <formula>0</formula>
    </cfRule>
  </conditionalFormatting>
  <conditionalFormatting sqref="E163:E164">
    <cfRule type="cellIs" dxfId="5249" priority="3093" operator="equal">
      <formula>0</formula>
    </cfRule>
    <cfRule type="cellIs" dxfId="5248" priority="3094" operator="notEqual">
      <formula>0</formula>
    </cfRule>
  </conditionalFormatting>
  <conditionalFormatting sqref="E180">
    <cfRule type="cellIs" dxfId="5247" priority="3086" operator="equal">
      <formula>0</formula>
    </cfRule>
  </conditionalFormatting>
  <conditionalFormatting sqref="E188:E189">
    <cfRule type="cellIs" dxfId="5246" priority="3090" operator="equal">
      <formula>0</formula>
    </cfRule>
    <cfRule type="cellIs" dxfId="5245" priority="3091" operator="notEqual">
      <formula>0</formula>
    </cfRule>
  </conditionalFormatting>
  <conditionalFormatting sqref="E178:E179">
    <cfRule type="cellIs" dxfId="5244" priority="3087" operator="equal">
      <formula>0</formula>
    </cfRule>
    <cfRule type="cellIs" dxfId="5243" priority="3088" operator="notEqual">
      <formula>0</formula>
    </cfRule>
  </conditionalFormatting>
  <conditionalFormatting sqref="E185">
    <cfRule type="cellIs" dxfId="5242" priority="3083" operator="equal">
      <formula>0</formula>
    </cfRule>
  </conditionalFormatting>
  <conditionalFormatting sqref="E183:E184">
    <cfRule type="cellIs" dxfId="5241" priority="3084" operator="equal">
      <formula>0</formula>
    </cfRule>
    <cfRule type="cellIs" dxfId="5240" priority="3085" operator="notEqual">
      <formula>0</formula>
    </cfRule>
  </conditionalFormatting>
  <conditionalFormatting sqref="F148:F149">
    <cfRule type="cellIs" dxfId="5239" priority="3081" operator="equal">
      <formula>0</formula>
    </cfRule>
    <cfRule type="cellIs" dxfId="5238" priority="3082" operator="notEqual">
      <formula>0</formula>
    </cfRule>
  </conditionalFormatting>
  <conditionalFormatting sqref="F153:F154 F158:F159 F168:F169 F193:F194 F198:F199 F203:F204">
    <cfRule type="cellIs" dxfId="5237" priority="3079" operator="equal">
      <formula>0</formula>
    </cfRule>
    <cfRule type="cellIs" dxfId="5236" priority="3080" operator="notEqual">
      <formula>0</formula>
    </cfRule>
  </conditionalFormatting>
  <conditionalFormatting sqref="F150 F155 F160 F170 F195 F200 F205 F210">
    <cfRule type="cellIs" dxfId="5235" priority="3078" operator="equal">
      <formula>0</formula>
    </cfRule>
  </conditionalFormatting>
  <conditionalFormatting sqref="F175">
    <cfRule type="cellIs" dxfId="5234" priority="3075" operator="equal">
      <formula>0</formula>
    </cfRule>
  </conditionalFormatting>
  <conditionalFormatting sqref="F165">
    <cfRule type="cellIs" dxfId="5233" priority="3072" operator="equal">
      <formula>0</formula>
    </cfRule>
  </conditionalFormatting>
  <conditionalFormatting sqref="F173:F174">
    <cfRule type="cellIs" dxfId="5232" priority="3076" operator="equal">
      <formula>0</formula>
    </cfRule>
    <cfRule type="cellIs" dxfId="5231" priority="3077" operator="notEqual">
      <formula>0</formula>
    </cfRule>
  </conditionalFormatting>
  <conditionalFormatting sqref="F190">
    <cfRule type="cellIs" dxfId="5230" priority="3069" operator="equal">
      <formula>0</formula>
    </cfRule>
  </conditionalFormatting>
  <conditionalFormatting sqref="F163:F164">
    <cfRule type="cellIs" dxfId="5229" priority="3073" operator="equal">
      <formula>0</formula>
    </cfRule>
    <cfRule type="cellIs" dxfId="5228" priority="3074" operator="notEqual">
      <formula>0</formula>
    </cfRule>
  </conditionalFormatting>
  <conditionalFormatting sqref="F180">
    <cfRule type="cellIs" dxfId="5227" priority="3066" operator="equal">
      <formula>0</formula>
    </cfRule>
  </conditionalFormatting>
  <conditionalFormatting sqref="F188:F189">
    <cfRule type="cellIs" dxfId="5226" priority="3070" operator="equal">
      <formula>0</formula>
    </cfRule>
    <cfRule type="cellIs" dxfId="5225" priority="3071" operator="notEqual">
      <formula>0</formula>
    </cfRule>
  </conditionalFormatting>
  <conditionalFormatting sqref="F178:F179">
    <cfRule type="cellIs" dxfId="5224" priority="3067" operator="equal">
      <formula>0</formula>
    </cfRule>
    <cfRule type="cellIs" dxfId="5223" priority="3068" operator="notEqual">
      <formula>0</formula>
    </cfRule>
  </conditionalFormatting>
  <conditionalFormatting sqref="F185">
    <cfRule type="cellIs" dxfId="5222" priority="3063" operator="equal">
      <formula>0</formula>
    </cfRule>
  </conditionalFormatting>
  <conditionalFormatting sqref="F183:F184">
    <cfRule type="cellIs" dxfId="5221" priority="3064" operator="equal">
      <formula>0</formula>
    </cfRule>
    <cfRule type="cellIs" dxfId="5220" priority="3065" operator="notEqual">
      <formula>0</formula>
    </cfRule>
  </conditionalFormatting>
  <conditionalFormatting sqref="G148:G149">
    <cfRule type="cellIs" dxfId="5219" priority="3061" operator="equal">
      <formula>0</formula>
    </cfRule>
    <cfRule type="cellIs" dxfId="5218" priority="3062" operator="notEqual">
      <formula>0</formula>
    </cfRule>
  </conditionalFormatting>
  <conditionalFormatting sqref="G153:G154 G158:G159 G168:G169 G193:G194 G198:G199 G203:G204">
    <cfRule type="cellIs" dxfId="5217" priority="3059" operator="equal">
      <formula>0</formula>
    </cfRule>
    <cfRule type="cellIs" dxfId="5216" priority="3060" operator="notEqual">
      <formula>0</formula>
    </cfRule>
  </conditionalFormatting>
  <conditionalFormatting sqref="G150 G155 G160 G170 G195 G200 G205 G210">
    <cfRule type="cellIs" dxfId="5215" priority="3058" operator="equal">
      <formula>0</formula>
    </cfRule>
  </conditionalFormatting>
  <conditionalFormatting sqref="G175">
    <cfRule type="cellIs" dxfId="5214" priority="3055" operator="equal">
      <formula>0</formula>
    </cfRule>
  </conditionalFormatting>
  <conditionalFormatting sqref="G165">
    <cfRule type="cellIs" dxfId="5213" priority="3052" operator="equal">
      <formula>0</formula>
    </cfRule>
  </conditionalFormatting>
  <conditionalFormatting sqref="G173:G174">
    <cfRule type="cellIs" dxfId="5212" priority="3056" operator="equal">
      <formula>0</formula>
    </cfRule>
    <cfRule type="cellIs" dxfId="5211" priority="3057" operator="notEqual">
      <formula>0</formula>
    </cfRule>
  </conditionalFormatting>
  <conditionalFormatting sqref="G190">
    <cfRule type="cellIs" dxfId="5210" priority="3049" operator="equal">
      <formula>0</formula>
    </cfRule>
  </conditionalFormatting>
  <conditionalFormatting sqref="G163:G164">
    <cfRule type="cellIs" dxfId="5209" priority="3053" operator="equal">
      <formula>0</formula>
    </cfRule>
    <cfRule type="cellIs" dxfId="5208" priority="3054" operator="notEqual">
      <formula>0</formula>
    </cfRule>
  </conditionalFormatting>
  <conditionalFormatting sqref="G180">
    <cfRule type="cellIs" dxfId="5207" priority="3046" operator="equal">
      <formula>0</formula>
    </cfRule>
  </conditionalFormatting>
  <conditionalFormatting sqref="G188:G189">
    <cfRule type="cellIs" dxfId="5206" priority="3050" operator="equal">
      <formula>0</formula>
    </cfRule>
    <cfRule type="cellIs" dxfId="5205" priority="3051" operator="notEqual">
      <formula>0</formula>
    </cfRule>
  </conditionalFormatting>
  <conditionalFormatting sqref="G178:G179">
    <cfRule type="cellIs" dxfId="5204" priority="3047" operator="equal">
      <formula>0</formula>
    </cfRule>
    <cfRule type="cellIs" dxfId="5203" priority="3048" operator="notEqual">
      <formula>0</formula>
    </cfRule>
  </conditionalFormatting>
  <conditionalFormatting sqref="G185">
    <cfRule type="cellIs" dxfId="5202" priority="3043" operator="equal">
      <formula>0</formula>
    </cfRule>
  </conditionalFormatting>
  <conditionalFormatting sqref="G183:G184">
    <cfRule type="cellIs" dxfId="5201" priority="3044" operator="equal">
      <formula>0</formula>
    </cfRule>
    <cfRule type="cellIs" dxfId="5200" priority="3045" operator="notEqual">
      <formula>0</formula>
    </cfRule>
  </conditionalFormatting>
  <conditionalFormatting sqref="H148:H149">
    <cfRule type="cellIs" dxfId="5199" priority="3041" operator="equal">
      <formula>0</formula>
    </cfRule>
    <cfRule type="cellIs" dxfId="5198" priority="3042" operator="notEqual">
      <formula>0</formula>
    </cfRule>
  </conditionalFormatting>
  <conditionalFormatting sqref="H153:H154 H158:H159 H168:H169 H193:H194 H198:H199 H203:H204">
    <cfRule type="cellIs" dxfId="5197" priority="3039" operator="equal">
      <formula>0</formula>
    </cfRule>
    <cfRule type="cellIs" dxfId="5196" priority="3040" operator="notEqual">
      <formula>0</formula>
    </cfRule>
  </conditionalFormatting>
  <conditionalFormatting sqref="H150 H155 H160 H170 H195 H200 H205 H210">
    <cfRule type="cellIs" dxfId="5195" priority="3038" operator="equal">
      <formula>0</formula>
    </cfRule>
  </conditionalFormatting>
  <conditionalFormatting sqref="H175">
    <cfRule type="cellIs" dxfId="5194" priority="3035" operator="equal">
      <formula>0</formula>
    </cfRule>
  </conditionalFormatting>
  <conditionalFormatting sqref="H165">
    <cfRule type="cellIs" dxfId="5193" priority="3032" operator="equal">
      <formula>0</formula>
    </cfRule>
  </conditionalFormatting>
  <conditionalFormatting sqref="H173:H174">
    <cfRule type="cellIs" dxfId="5192" priority="3036" operator="equal">
      <formula>0</formula>
    </cfRule>
    <cfRule type="cellIs" dxfId="5191" priority="3037" operator="notEqual">
      <formula>0</formula>
    </cfRule>
  </conditionalFormatting>
  <conditionalFormatting sqref="H190">
    <cfRule type="cellIs" dxfId="5190" priority="3029" operator="equal">
      <formula>0</formula>
    </cfRule>
  </conditionalFormatting>
  <conditionalFormatting sqref="H163:H164">
    <cfRule type="cellIs" dxfId="5189" priority="3033" operator="equal">
      <formula>0</formula>
    </cfRule>
    <cfRule type="cellIs" dxfId="5188" priority="3034" operator="notEqual">
      <formula>0</formula>
    </cfRule>
  </conditionalFormatting>
  <conditionalFormatting sqref="H180">
    <cfRule type="cellIs" dxfId="5187" priority="3026" operator="equal">
      <formula>0</formula>
    </cfRule>
  </conditionalFormatting>
  <conditionalFormatting sqref="H188:H189">
    <cfRule type="cellIs" dxfId="5186" priority="3030" operator="equal">
      <formula>0</formula>
    </cfRule>
    <cfRule type="cellIs" dxfId="5185" priority="3031" operator="notEqual">
      <formula>0</formula>
    </cfRule>
  </conditionalFormatting>
  <conditionalFormatting sqref="H178:H179">
    <cfRule type="cellIs" dxfId="5184" priority="3027" operator="equal">
      <formula>0</formula>
    </cfRule>
    <cfRule type="cellIs" dxfId="5183" priority="3028" operator="notEqual">
      <formula>0</formula>
    </cfRule>
  </conditionalFormatting>
  <conditionalFormatting sqref="H185">
    <cfRule type="cellIs" dxfId="5182" priority="3023" operator="equal">
      <formula>0</formula>
    </cfRule>
  </conditionalFormatting>
  <conditionalFormatting sqref="H183:H184">
    <cfRule type="cellIs" dxfId="5181" priority="3024" operator="equal">
      <formula>0</formula>
    </cfRule>
    <cfRule type="cellIs" dxfId="5180" priority="3025" operator="notEqual">
      <formula>0</formula>
    </cfRule>
  </conditionalFormatting>
  <conditionalFormatting sqref="I148:I149">
    <cfRule type="cellIs" dxfId="5179" priority="3021" operator="equal">
      <formula>0</formula>
    </cfRule>
    <cfRule type="cellIs" dxfId="5178" priority="3022" operator="notEqual">
      <formula>0</formula>
    </cfRule>
  </conditionalFormatting>
  <conditionalFormatting sqref="I153:I154 I158:I159 I168:I169 I193:I194 I198:I199 I203:I204">
    <cfRule type="cellIs" dxfId="5177" priority="3019" operator="equal">
      <formula>0</formula>
    </cfRule>
    <cfRule type="cellIs" dxfId="5176" priority="3020" operator="notEqual">
      <formula>0</formula>
    </cfRule>
  </conditionalFormatting>
  <conditionalFormatting sqref="I150 I155 I160 I170 I195 I200 I205 I210">
    <cfRule type="cellIs" dxfId="5175" priority="3018" operator="equal">
      <formula>0</formula>
    </cfRule>
  </conditionalFormatting>
  <conditionalFormatting sqref="I175">
    <cfRule type="cellIs" dxfId="5174" priority="3015" operator="equal">
      <formula>0</formula>
    </cfRule>
  </conditionalFormatting>
  <conditionalFormatting sqref="I165">
    <cfRule type="cellIs" dxfId="5173" priority="3012" operator="equal">
      <formula>0</formula>
    </cfRule>
  </conditionalFormatting>
  <conditionalFormatting sqref="I173:I174">
    <cfRule type="cellIs" dxfId="5172" priority="3016" operator="equal">
      <formula>0</formula>
    </cfRule>
    <cfRule type="cellIs" dxfId="5171" priority="3017" operator="notEqual">
      <formula>0</formula>
    </cfRule>
  </conditionalFormatting>
  <conditionalFormatting sqref="I190">
    <cfRule type="cellIs" dxfId="5170" priority="3009" operator="equal">
      <formula>0</formula>
    </cfRule>
  </conditionalFormatting>
  <conditionalFormatting sqref="I163:I164">
    <cfRule type="cellIs" dxfId="5169" priority="3013" operator="equal">
      <formula>0</formula>
    </cfRule>
    <cfRule type="cellIs" dxfId="5168" priority="3014" operator="notEqual">
      <formula>0</formula>
    </cfRule>
  </conditionalFormatting>
  <conditionalFormatting sqref="I180">
    <cfRule type="cellIs" dxfId="5167" priority="3006" operator="equal">
      <formula>0</formula>
    </cfRule>
  </conditionalFormatting>
  <conditionalFormatting sqref="I188:I189">
    <cfRule type="cellIs" dxfId="5166" priority="3010" operator="equal">
      <formula>0</formula>
    </cfRule>
    <cfRule type="cellIs" dxfId="5165" priority="3011" operator="notEqual">
      <formula>0</formula>
    </cfRule>
  </conditionalFormatting>
  <conditionalFormatting sqref="I178:I179">
    <cfRule type="cellIs" dxfId="5164" priority="3007" operator="equal">
      <formula>0</formula>
    </cfRule>
    <cfRule type="cellIs" dxfId="5163" priority="3008" operator="notEqual">
      <formula>0</formula>
    </cfRule>
  </conditionalFormatting>
  <conditionalFormatting sqref="I185">
    <cfRule type="cellIs" dxfId="5162" priority="3003" operator="equal">
      <formula>0</formula>
    </cfRule>
  </conditionalFormatting>
  <conditionalFormatting sqref="I183:I184">
    <cfRule type="cellIs" dxfId="5161" priority="3004" operator="equal">
      <formula>0</formula>
    </cfRule>
    <cfRule type="cellIs" dxfId="5160" priority="3005" operator="notEqual">
      <formula>0</formula>
    </cfRule>
  </conditionalFormatting>
  <conditionalFormatting sqref="J148:J149">
    <cfRule type="cellIs" dxfId="5159" priority="3001" operator="equal">
      <formula>0</formula>
    </cfRule>
    <cfRule type="cellIs" dxfId="5158" priority="3002" operator="notEqual">
      <formula>0</formula>
    </cfRule>
  </conditionalFormatting>
  <conditionalFormatting sqref="J153:J154 J158:J159 J168:J169 J193:J194 J198:J199 J203:J204">
    <cfRule type="cellIs" dxfId="5157" priority="2999" operator="equal">
      <formula>0</formula>
    </cfRule>
    <cfRule type="cellIs" dxfId="5156" priority="3000" operator="notEqual">
      <formula>0</formula>
    </cfRule>
  </conditionalFormatting>
  <conditionalFormatting sqref="J150 J155 J160 J170 J195 J200 J205 J210">
    <cfRule type="cellIs" dxfId="5155" priority="2998" operator="equal">
      <formula>0</formula>
    </cfRule>
  </conditionalFormatting>
  <conditionalFormatting sqref="J175">
    <cfRule type="cellIs" dxfId="5154" priority="2995" operator="equal">
      <formula>0</formula>
    </cfRule>
  </conditionalFormatting>
  <conditionalFormatting sqref="J165">
    <cfRule type="cellIs" dxfId="5153" priority="2992" operator="equal">
      <formula>0</formula>
    </cfRule>
  </conditionalFormatting>
  <conditionalFormatting sqref="J173:J174">
    <cfRule type="cellIs" dxfId="5152" priority="2996" operator="equal">
      <formula>0</formula>
    </cfRule>
    <cfRule type="cellIs" dxfId="5151" priority="2997" operator="notEqual">
      <formula>0</formula>
    </cfRule>
  </conditionalFormatting>
  <conditionalFormatting sqref="J190">
    <cfRule type="cellIs" dxfId="5150" priority="2989" operator="equal">
      <formula>0</formula>
    </cfRule>
  </conditionalFormatting>
  <conditionalFormatting sqref="J163:J164">
    <cfRule type="cellIs" dxfId="5149" priority="2993" operator="equal">
      <formula>0</formula>
    </cfRule>
    <cfRule type="cellIs" dxfId="5148" priority="2994" operator="notEqual">
      <formula>0</formula>
    </cfRule>
  </conditionalFormatting>
  <conditionalFormatting sqref="J180">
    <cfRule type="cellIs" dxfId="5147" priority="2986" operator="equal">
      <formula>0</formula>
    </cfRule>
  </conditionalFormatting>
  <conditionalFormatting sqref="J188:J189">
    <cfRule type="cellIs" dxfId="5146" priority="2990" operator="equal">
      <formula>0</formula>
    </cfRule>
    <cfRule type="cellIs" dxfId="5145" priority="2991" operator="notEqual">
      <formula>0</formula>
    </cfRule>
  </conditionalFormatting>
  <conditionalFormatting sqref="J178:J179">
    <cfRule type="cellIs" dxfId="5144" priority="2987" operator="equal">
      <formula>0</formula>
    </cfRule>
    <cfRule type="cellIs" dxfId="5143" priority="2988" operator="notEqual">
      <formula>0</formula>
    </cfRule>
  </conditionalFormatting>
  <conditionalFormatting sqref="J185">
    <cfRule type="cellIs" dxfId="5142" priority="2983" operator="equal">
      <formula>0</formula>
    </cfRule>
  </conditionalFormatting>
  <conditionalFormatting sqref="J183:J184">
    <cfRule type="cellIs" dxfId="5141" priority="2984" operator="equal">
      <formula>0</formula>
    </cfRule>
    <cfRule type="cellIs" dxfId="5140" priority="2985" operator="notEqual">
      <formula>0</formula>
    </cfRule>
  </conditionalFormatting>
  <conditionalFormatting sqref="K148:K149">
    <cfRule type="cellIs" dxfId="5139" priority="2981" operator="equal">
      <formula>0</formula>
    </cfRule>
    <cfRule type="cellIs" dxfId="5138" priority="2982" operator="notEqual">
      <formula>0</formula>
    </cfRule>
  </conditionalFormatting>
  <conditionalFormatting sqref="K153:K154 K158:K159 K168:K169 K193:K194 K198:K199 K203:K204">
    <cfRule type="cellIs" dxfId="5137" priority="2979" operator="equal">
      <formula>0</formula>
    </cfRule>
    <cfRule type="cellIs" dxfId="5136" priority="2980" operator="notEqual">
      <formula>0</formula>
    </cfRule>
  </conditionalFormatting>
  <conditionalFormatting sqref="K150 K155 K160 K170 K195 K200 K205 K210">
    <cfRule type="cellIs" dxfId="5135" priority="2978" operator="equal">
      <formula>0</formula>
    </cfRule>
  </conditionalFormatting>
  <conditionalFormatting sqref="K175">
    <cfRule type="cellIs" dxfId="5134" priority="2975" operator="equal">
      <formula>0</formula>
    </cfRule>
  </conditionalFormatting>
  <conditionalFormatting sqref="K165">
    <cfRule type="cellIs" dxfId="5133" priority="2972" operator="equal">
      <formula>0</formula>
    </cfRule>
  </conditionalFormatting>
  <conditionalFormatting sqref="K173:K174">
    <cfRule type="cellIs" dxfId="5132" priority="2976" operator="equal">
      <formula>0</formula>
    </cfRule>
    <cfRule type="cellIs" dxfId="5131" priority="2977" operator="notEqual">
      <formula>0</formula>
    </cfRule>
  </conditionalFormatting>
  <conditionalFormatting sqref="K190">
    <cfRule type="cellIs" dxfId="5130" priority="2969" operator="equal">
      <formula>0</formula>
    </cfRule>
  </conditionalFormatting>
  <conditionalFormatting sqref="K163:K164">
    <cfRule type="cellIs" dxfId="5129" priority="2973" operator="equal">
      <formula>0</formula>
    </cfRule>
    <cfRule type="cellIs" dxfId="5128" priority="2974" operator="notEqual">
      <formula>0</formula>
    </cfRule>
  </conditionalFormatting>
  <conditionalFormatting sqref="K180">
    <cfRule type="cellIs" dxfId="5127" priority="2966" operator="equal">
      <formula>0</formula>
    </cfRule>
  </conditionalFormatting>
  <conditionalFormatting sqref="K188:K189">
    <cfRule type="cellIs" dxfId="5126" priority="2970" operator="equal">
      <formula>0</formula>
    </cfRule>
    <cfRule type="cellIs" dxfId="5125" priority="2971" operator="notEqual">
      <formula>0</formula>
    </cfRule>
  </conditionalFormatting>
  <conditionalFormatting sqref="K178:K179">
    <cfRule type="cellIs" dxfId="5124" priority="2967" operator="equal">
      <formula>0</formula>
    </cfRule>
    <cfRule type="cellIs" dxfId="5123" priority="2968" operator="notEqual">
      <formula>0</formula>
    </cfRule>
  </conditionalFormatting>
  <conditionalFormatting sqref="K185">
    <cfRule type="cellIs" dxfId="5122" priority="2963" operator="equal">
      <formula>0</formula>
    </cfRule>
  </conditionalFormatting>
  <conditionalFormatting sqref="K183:K184">
    <cfRule type="cellIs" dxfId="5121" priority="2964" operator="equal">
      <formula>0</formula>
    </cfRule>
    <cfRule type="cellIs" dxfId="5120" priority="2965" operator="notEqual">
      <formula>0</formula>
    </cfRule>
  </conditionalFormatting>
  <conditionalFormatting sqref="L150 L155 L160 L170 L195 L200 L205 L210">
    <cfRule type="cellIs" dxfId="5119" priority="2962" operator="equal">
      <formula>0</formula>
    </cfRule>
  </conditionalFormatting>
  <conditionalFormatting sqref="L175">
    <cfRule type="cellIs" dxfId="5118" priority="2961" operator="equal">
      <formula>0</formula>
    </cfRule>
  </conditionalFormatting>
  <conditionalFormatting sqref="L165">
    <cfRule type="cellIs" dxfId="5117" priority="2960" operator="equal">
      <formula>0</formula>
    </cfRule>
  </conditionalFormatting>
  <conditionalFormatting sqref="L190">
    <cfRule type="cellIs" dxfId="5116" priority="2959" operator="equal">
      <formula>0</formula>
    </cfRule>
  </conditionalFormatting>
  <conditionalFormatting sqref="L180">
    <cfRule type="cellIs" dxfId="5115" priority="2958" operator="equal">
      <formula>0</formula>
    </cfRule>
  </conditionalFormatting>
  <conditionalFormatting sqref="L185">
    <cfRule type="cellIs" dxfId="5114" priority="2957" operator="equal">
      <formula>0</formula>
    </cfRule>
  </conditionalFormatting>
  <conditionalFormatting sqref="M150 M155 M160 M170 M195 M200 M205 M210">
    <cfRule type="cellIs" dxfId="5113" priority="2956" operator="equal">
      <formula>0</formula>
    </cfRule>
  </conditionalFormatting>
  <conditionalFormatting sqref="M175">
    <cfRule type="cellIs" dxfId="5112" priority="2955" operator="equal">
      <formula>0</formula>
    </cfRule>
  </conditionalFormatting>
  <conditionalFormatting sqref="M165">
    <cfRule type="cellIs" dxfId="5111" priority="2954" operator="equal">
      <formula>0</formula>
    </cfRule>
  </conditionalFormatting>
  <conditionalFormatting sqref="M190">
    <cfRule type="cellIs" dxfId="5110" priority="2953" operator="equal">
      <formula>0</formula>
    </cfRule>
  </conditionalFormatting>
  <conditionalFormatting sqref="M180">
    <cfRule type="cellIs" dxfId="5109" priority="2952" operator="equal">
      <formula>0</formula>
    </cfRule>
  </conditionalFormatting>
  <conditionalFormatting sqref="M185">
    <cfRule type="cellIs" dxfId="5108" priority="2951" operator="equal">
      <formula>0</formula>
    </cfRule>
  </conditionalFormatting>
  <conditionalFormatting sqref="N150 N155 N160 N170 N195 N200 N205 N210">
    <cfRule type="cellIs" dxfId="5107" priority="2950" operator="equal">
      <formula>0</formula>
    </cfRule>
  </conditionalFormatting>
  <conditionalFormatting sqref="N175">
    <cfRule type="cellIs" dxfId="5106" priority="2949" operator="equal">
      <formula>0</formula>
    </cfRule>
  </conditionalFormatting>
  <conditionalFormatting sqref="N165">
    <cfRule type="cellIs" dxfId="5105" priority="2948" operator="equal">
      <formula>0</formula>
    </cfRule>
  </conditionalFormatting>
  <conditionalFormatting sqref="N190">
    <cfRule type="cellIs" dxfId="5104" priority="2947" operator="equal">
      <formula>0</formula>
    </cfRule>
  </conditionalFormatting>
  <conditionalFormatting sqref="N180">
    <cfRule type="cellIs" dxfId="5103" priority="2946" operator="equal">
      <formula>0</formula>
    </cfRule>
  </conditionalFormatting>
  <conditionalFormatting sqref="N185">
    <cfRule type="cellIs" dxfId="5102" priority="2945" operator="equal">
      <formula>0</formula>
    </cfRule>
  </conditionalFormatting>
  <conditionalFormatting sqref="O150 O155 O160 O170 O195 O200 O205 O210">
    <cfRule type="cellIs" dxfId="5101" priority="2944" operator="equal">
      <formula>0</formula>
    </cfRule>
  </conditionalFormatting>
  <conditionalFormatting sqref="O175">
    <cfRule type="cellIs" dxfId="5100" priority="2943" operator="equal">
      <formula>0</formula>
    </cfRule>
  </conditionalFormatting>
  <conditionalFormatting sqref="O165">
    <cfRule type="cellIs" dxfId="5099" priority="2942" operator="equal">
      <formula>0</formula>
    </cfRule>
  </conditionalFormatting>
  <conditionalFormatting sqref="O190">
    <cfRule type="cellIs" dxfId="5098" priority="2941" operator="equal">
      <formula>0</formula>
    </cfRule>
  </conditionalFormatting>
  <conditionalFormatting sqref="O180">
    <cfRule type="cellIs" dxfId="5097" priority="2940" operator="equal">
      <formula>0</formula>
    </cfRule>
  </conditionalFormatting>
  <conditionalFormatting sqref="O185">
    <cfRule type="cellIs" dxfId="5096" priority="2939" operator="equal">
      <formula>0</formula>
    </cfRule>
  </conditionalFormatting>
  <conditionalFormatting sqref="P77">
    <cfRule type="cellIs" dxfId="5095" priority="2937" operator="equal">
      <formula>0</formula>
    </cfRule>
    <cfRule type="cellIs" dxfId="5094" priority="2938" operator="notEqual">
      <formula>0</formula>
    </cfRule>
  </conditionalFormatting>
  <conditionalFormatting sqref="P102">
    <cfRule type="cellIs" dxfId="5093" priority="2935" operator="equal">
      <formula>0</formula>
    </cfRule>
    <cfRule type="cellIs" dxfId="5092" priority="2936" operator="notEqual">
      <formula>0</formula>
    </cfRule>
  </conditionalFormatting>
  <conditionalFormatting sqref="P80 P105 P110">
    <cfRule type="cellIs" dxfId="5091" priority="2934" operator="equal">
      <formula>0</formula>
    </cfRule>
  </conditionalFormatting>
  <conditionalFormatting sqref="P82">
    <cfRule type="cellIs" dxfId="5090" priority="2932" operator="equal">
      <formula>0</formula>
    </cfRule>
    <cfRule type="cellIs" dxfId="5089" priority="2933" operator="notEqual">
      <formula>0</formula>
    </cfRule>
  </conditionalFormatting>
  <conditionalFormatting sqref="P85">
    <cfRule type="cellIs" dxfId="5088" priority="2931" operator="equal">
      <formula>0</formula>
    </cfRule>
  </conditionalFormatting>
  <conditionalFormatting sqref="P87">
    <cfRule type="cellIs" dxfId="5087" priority="2929" operator="equal">
      <formula>0</formula>
    </cfRule>
    <cfRule type="cellIs" dxfId="5086" priority="2930" operator="notEqual">
      <formula>0</formula>
    </cfRule>
  </conditionalFormatting>
  <conditionalFormatting sqref="P90">
    <cfRule type="cellIs" dxfId="5085" priority="2928" operator="equal">
      <formula>0</formula>
    </cfRule>
  </conditionalFormatting>
  <conditionalFormatting sqref="P92">
    <cfRule type="cellIs" dxfId="5084" priority="2926" operator="equal">
      <formula>0</formula>
    </cfRule>
    <cfRule type="cellIs" dxfId="5083" priority="2927" operator="notEqual">
      <formula>0</formula>
    </cfRule>
  </conditionalFormatting>
  <conditionalFormatting sqref="P95">
    <cfRule type="cellIs" dxfId="5082" priority="2925" operator="equal">
      <formula>0</formula>
    </cfRule>
  </conditionalFormatting>
  <conditionalFormatting sqref="P97">
    <cfRule type="cellIs" dxfId="5081" priority="2923" operator="equal">
      <formula>0</formula>
    </cfRule>
    <cfRule type="cellIs" dxfId="5080" priority="2924" operator="notEqual">
      <formula>0</formula>
    </cfRule>
  </conditionalFormatting>
  <conditionalFormatting sqref="P100">
    <cfRule type="cellIs" dxfId="5079" priority="2922" operator="equal">
      <formula>0</formula>
    </cfRule>
  </conditionalFormatting>
  <conditionalFormatting sqref="P135">
    <cfRule type="cellIs" dxfId="5078" priority="2916" operator="equal">
      <formula>0</formula>
    </cfRule>
  </conditionalFormatting>
  <conditionalFormatting sqref="P132">
    <cfRule type="cellIs" dxfId="5077" priority="2917" operator="equal">
      <formula>0</formula>
    </cfRule>
    <cfRule type="cellIs" dxfId="5076" priority="2918" operator="notEqual">
      <formula>0</formula>
    </cfRule>
  </conditionalFormatting>
  <conditionalFormatting sqref="Q77">
    <cfRule type="cellIs" dxfId="5075" priority="2911" operator="equal">
      <formula>0</formula>
    </cfRule>
    <cfRule type="cellIs" dxfId="5074" priority="2912" operator="notEqual">
      <formula>0</formula>
    </cfRule>
  </conditionalFormatting>
  <conditionalFormatting sqref="Q102">
    <cfRule type="cellIs" dxfId="5073" priority="2909" operator="equal">
      <formula>0</formula>
    </cfRule>
    <cfRule type="cellIs" dxfId="5072" priority="2910" operator="notEqual">
      <formula>0</formula>
    </cfRule>
  </conditionalFormatting>
  <conditionalFormatting sqref="Q80 Q105 Q110">
    <cfRule type="cellIs" dxfId="5071" priority="2908" operator="equal">
      <formula>0</formula>
    </cfRule>
  </conditionalFormatting>
  <conditionalFormatting sqref="Q82">
    <cfRule type="cellIs" dxfId="5070" priority="2906" operator="equal">
      <formula>0</formula>
    </cfRule>
    <cfRule type="cellIs" dxfId="5069" priority="2907" operator="notEqual">
      <formula>0</formula>
    </cfRule>
  </conditionalFormatting>
  <conditionalFormatting sqref="Q85">
    <cfRule type="cellIs" dxfId="5068" priority="2905" operator="equal">
      <formula>0</formula>
    </cfRule>
  </conditionalFormatting>
  <conditionalFormatting sqref="Q87">
    <cfRule type="cellIs" dxfId="5067" priority="2903" operator="equal">
      <formula>0</formula>
    </cfRule>
    <cfRule type="cellIs" dxfId="5066" priority="2904" operator="notEqual">
      <formula>0</formula>
    </cfRule>
  </conditionalFormatting>
  <conditionalFormatting sqref="Q90">
    <cfRule type="cellIs" dxfId="5065" priority="2902" operator="equal">
      <formula>0</formula>
    </cfRule>
  </conditionalFormatting>
  <conditionalFormatting sqref="Q92">
    <cfRule type="cellIs" dxfId="5064" priority="2900" operator="equal">
      <formula>0</formula>
    </cfRule>
    <cfRule type="cellIs" dxfId="5063" priority="2901" operator="notEqual">
      <formula>0</formula>
    </cfRule>
  </conditionalFormatting>
  <conditionalFormatting sqref="Q95">
    <cfRule type="cellIs" dxfId="5062" priority="2899" operator="equal">
      <formula>0</formula>
    </cfRule>
  </conditionalFormatting>
  <conditionalFormatting sqref="Q97">
    <cfRule type="cellIs" dxfId="5061" priority="2897" operator="equal">
      <formula>0</formula>
    </cfRule>
    <cfRule type="cellIs" dxfId="5060" priority="2898" operator="notEqual">
      <formula>0</formula>
    </cfRule>
  </conditionalFormatting>
  <conditionalFormatting sqref="Q100">
    <cfRule type="cellIs" dxfId="5059" priority="2896" operator="equal">
      <formula>0</formula>
    </cfRule>
  </conditionalFormatting>
  <conditionalFormatting sqref="Q135">
    <cfRule type="cellIs" dxfId="5058" priority="2890" operator="equal">
      <formula>0</formula>
    </cfRule>
  </conditionalFormatting>
  <conditionalFormatting sqref="Q132">
    <cfRule type="cellIs" dxfId="5057" priority="2891" operator="equal">
      <formula>0</formula>
    </cfRule>
    <cfRule type="cellIs" dxfId="5056" priority="2892" operator="notEqual">
      <formula>0</formula>
    </cfRule>
  </conditionalFormatting>
  <conditionalFormatting sqref="R77">
    <cfRule type="cellIs" dxfId="5055" priority="2885" operator="equal">
      <formula>0</formula>
    </cfRule>
    <cfRule type="cellIs" dxfId="5054" priority="2886" operator="notEqual">
      <formula>0</formula>
    </cfRule>
  </conditionalFormatting>
  <conditionalFormatting sqref="R102">
    <cfRule type="cellIs" dxfId="5053" priority="2883" operator="equal">
      <formula>0</formula>
    </cfRule>
    <cfRule type="cellIs" dxfId="5052" priority="2884" operator="notEqual">
      <formula>0</formula>
    </cfRule>
  </conditionalFormatting>
  <conditionalFormatting sqref="R80 R105 R110">
    <cfRule type="cellIs" dxfId="5051" priority="2882" operator="equal">
      <formula>0</formula>
    </cfRule>
  </conditionalFormatting>
  <conditionalFormatting sqref="R82">
    <cfRule type="cellIs" dxfId="5050" priority="2880" operator="equal">
      <formula>0</formula>
    </cfRule>
    <cfRule type="cellIs" dxfId="5049" priority="2881" operator="notEqual">
      <formula>0</formula>
    </cfRule>
  </conditionalFormatting>
  <conditionalFormatting sqref="R85">
    <cfRule type="cellIs" dxfId="5048" priority="2879" operator="equal">
      <formula>0</formula>
    </cfRule>
  </conditionalFormatting>
  <conditionalFormatting sqref="R87">
    <cfRule type="cellIs" dxfId="5047" priority="2877" operator="equal">
      <formula>0</formula>
    </cfRule>
    <cfRule type="cellIs" dxfId="5046" priority="2878" operator="notEqual">
      <formula>0</formula>
    </cfRule>
  </conditionalFormatting>
  <conditionalFormatting sqref="R90">
    <cfRule type="cellIs" dxfId="5045" priority="2876" operator="equal">
      <formula>0</formula>
    </cfRule>
  </conditionalFormatting>
  <conditionalFormatting sqref="R92">
    <cfRule type="cellIs" dxfId="5044" priority="2874" operator="equal">
      <formula>0</formula>
    </cfRule>
    <cfRule type="cellIs" dxfId="5043" priority="2875" operator="notEqual">
      <formula>0</formula>
    </cfRule>
  </conditionalFormatting>
  <conditionalFormatting sqref="R95">
    <cfRule type="cellIs" dxfId="5042" priority="2873" operator="equal">
      <formula>0</formula>
    </cfRule>
  </conditionalFormatting>
  <conditionalFormatting sqref="R97">
    <cfRule type="cellIs" dxfId="5041" priority="2871" operator="equal">
      <formula>0</formula>
    </cfRule>
    <cfRule type="cellIs" dxfId="5040" priority="2872" operator="notEqual">
      <formula>0</formula>
    </cfRule>
  </conditionalFormatting>
  <conditionalFormatting sqref="R100">
    <cfRule type="cellIs" dxfId="5039" priority="2870" operator="equal">
      <formula>0</formula>
    </cfRule>
  </conditionalFormatting>
  <conditionalFormatting sqref="R135">
    <cfRule type="cellIs" dxfId="5038" priority="2864" operator="equal">
      <formula>0</formula>
    </cfRule>
  </conditionalFormatting>
  <conditionalFormatting sqref="R132">
    <cfRule type="cellIs" dxfId="5037" priority="2865" operator="equal">
      <formula>0</formula>
    </cfRule>
    <cfRule type="cellIs" dxfId="5036" priority="2866" operator="notEqual">
      <formula>0</formula>
    </cfRule>
  </conditionalFormatting>
  <conditionalFormatting sqref="S77">
    <cfRule type="cellIs" dxfId="5035" priority="2859" operator="equal">
      <formula>0</formula>
    </cfRule>
    <cfRule type="cellIs" dxfId="5034" priority="2860" operator="notEqual">
      <formula>0</formula>
    </cfRule>
  </conditionalFormatting>
  <conditionalFormatting sqref="S102">
    <cfRule type="cellIs" dxfId="5033" priority="2857" operator="equal">
      <formula>0</formula>
    </cfRule>
    <cfRule type="cellIs" dxfId="5032" priority="2858" operator="notEqual">
      <formula>0</formula>
    </cfRule>
  </conditionalFormatting>
  <conditionalFormatting sqref="S80 S105 S110">
    <cfRule type="cellIs" dxfId="5031" priority="2856" operator="equal">
      <formula>0</formula>
    </cfRule>
  </conditionalFormatting>
  <conditionalFormatting sqref="S82">
    <cfRule type="cellIs" dxfId="5030" priority="2854" operator="equal">
      <formula>0</formula>
    </cfRule>
    <cfRule type="cellIs" dxfId="5029" priority="2855" operator="notEqual">
      <formula>0</formula>
    </cfRule>
  </conditionalFormatting>
  <conditionalFormatting sqref="S85">
    <cfRule type="cellIs" dxfId="5028" priority="2853" operator="equal">
      <formula>0</formula>
    </cfRule>
  </conditionalFormatting>
  <conditionalFormatting sqref="S87">
    <cfRule type="cellIs" dxfId="5027" priority="2851" operator="equal">
      <formula>0</formula>
    </cfRule>
    <cfRule type="cellIs" dxfId="5026" priority="2852" operator="notEqual">
      <formula>0</formula>
    </cfRule>
  </conditionalFormatting>
  <conditionalFormatting sqref="S90">
    <cfRule type="cellIs" dxfId="5025" priority="2850" operator="equal">
      <formula>0</formula>
    </cfRule>
  </conditionalFormatting>
  <conditionalFormatting sqref="S92">
    <cfRule type="cellIs" dxfId="5024" priority="2848" operator="equal">
      <formula>0</formula>
    </cfRule>
    <cfRule type="cellIs" dxfId="5023" priority="2849" operator="notEqual">
      <formula>0</formula>
    </cfRule>
  </conditionalFormatting>
  <conditionalFormatting sqref="S95">
    <cfRule type="cellIs" dxfId="5022" priority="2847" operator="equal">
      <formula>0</formula>
    </cfRule>
  </conditionalFormatting>
  <conditionalFormatting sqref="S97">
    <cfRule type="cellIs" dxfId="5021" priority="2845" operator="equal">
      <formula>0</formula>
    </cfRule>
    <cfRule type="cellIs" dxfId="5020" priority="2846" operator="notEqual">
      <formula>0</formula>
    </cfRule>
  </conditionalFormatting>
  <conditionalFormatting sqref="S100">
    <cfRule type="cellIs" dxfId="5019" priority="2844" operator="equal">
      <formula>0</formula>
    </cfRule>
  </conditionalFormatting>
  <conditionalFormatting sqref="S135">
    <cfRule type="cellIs" dxfId="5018" priority="2838" operator="equal">
      <formula>0</formula>
    </cfRule>
  </conditionalFormatting>
  <conditionalFormatting sqref="S132">
    <cfRule type="cellIs" dxfId="5017" priority="2839" operator="equal">
      <formula>0</formula>
    </cfRule>
    <cfRule type="cellIs" dxfId="5016" priority="2840" operator="notEqual">
      <formula>0</formula>
    </cfRule>
  </conditionalFormatting>
  <conditionalFormatting sqref="J103:J104">
    <cfRule type="cellIs" dxfId="5015" priority="2708" operator="equal">
      <formula>0</formula>
    </cfRule>
    <cfRule type="cellIs" dxfId="5014" priority="2709" operator="notEqual">
      <formula>0</formula>
    </cfRule>
  </conditionalFormatting>
  <conditionalFormatting sqref="J105">
    <cfRule type="cellIs" dxfId="5013" priority="2707" operator="equal">
      <formula>0</formula>
    </cfRule>
  </conditionalFormatting>
  <conditionalFormatting sqref="D78:D79">
    <cfRule type="cellIs" dxfId="5012" priority="2833" operator="equal">
      <formula>0</formula>
    </cfRule>
    <cfRule type="cellIs" dxfId="5011" priority="2834" operator="notEqual">
      <formula>0</formula>
    </cfRule>
  </conditionalFormatting>
  <conditionalFormatting sqref="D83:D84 D88:D89 D98:D99 D133:D134">
    <cfRule type="cellIs" dxfId="5010" priority="2831" operator="equal">
      <formula>0</formula>
    </cfRule>
    <cfRule type="cellIs" dxfId="5009" priority="2832" operator="notEqual">
      <formula>0</formula>
    </cfRule>
  </conditionalFormatting>
  <conditionalFormatting sqref="D80:D81 E81:S81 D85:D86 E86:S86 D90:D91 E91:S91 D100:D101 E101:S101 D135:D136 E136:S136">
    <cfRule type="cellIs" dxfId="5008" priority="2830" operator="equal">
      <formula>0</formula>
    </cfRule>
  </conditionalFormatting>
  <conditionalFormatting sqref="D105:D106 E106:S106">
    <cfRule type="cellIs" dxfId="5007" priority="2827" operator="equal">
      <formula>0</formula>
    </cfRule>
  </conditionalFormatting>
  <conditionalFormatting sqref="D95:D96 E96:S96">
    <cfRule type="cellIs" dxfId="5006" priority="2824" operator="equal">
      <formula>0</formula>
    </cfRule>
  </conditionalFormatting>
  <conditionalFormatting sqref="D103:D104">
    <cfRule type="cellIs" dxfId="5005" priority="2828" operator="equal">
      <formula>0</formula>
    </cfRule>
    <cfRule type="cellIs" dxfId="5004" priority="2829" operator="notEqual">
      <formula>0</formula>
    </cfRule>
  </conditionalFormatting>
  <conditionalFormatting sqref="D93:D94">
    <cfRule type="cellIs" dxfId="5003" priority="2825" operator="equal">
      <formula>0</formula>
    </cfRule>
    <cfRule type="cellIs" dxfId="5002" priority="2826" operator="notEqual">
      <formula>0</formula>
    </cfRule>
  </conditionalFormatting>
  <conditionalFormatting sqref="D110">
    <cfRule type="cellIs" dxfId="5001" priority="2818" operator="equal">
      <formula>0</formula>
    </cfRule>
  </conditionalFormatting>
  <conditionalFormatting sqref="D108:D109">
    <cfRule type="cellIs" dxfId="5000" priority="2819" operator="equal">
      <formula>0</formula>
    </cfRule>
    <cfRule type="cellIs" dxfId="4999" priority="2820" operator="notEqual">
      <formula>0</formula>
    </cfRule>
  </conditionalFormatting>
  <conditionalFormatting sqref="K105">
    <cfRule type="cellIs" dxfId="4998" priority="2687" operator="equal">
      <formula>0</formula>
    </cfRule>
  </conditionalFormatting>
  <conditionalFormatting sqref="K103:K104">
    <cfRule type="cellIs" dxfId="4997" priority="2688" operator="equal">
      <formula>0</formula>
    </cfRule>
    <cfRule type="cellIs" dxfId="4996" priority="2689" operator="notEqual">
      <formula>0</formula>
    </cfRule>
  </conditionalFormatting>
  <conditionalFormatting sqref="E78:E79">
    <cfRule type="cellIs" dxfId="4995" priority="2813" operator="equal">
      <formula>0</formula>
    </cfRule>
    <cfRule type="cellIs" dxfId="4994" priority="2814" operator="notEqual">
      <formula>0</formula>
    </cfRule>
  </conditionalFormatting>
  <conditionalFormatting sqref="E83:E84 E88:E89 E98:E99 E133:E134">
    <cfRule type="cellIs" dxfId="4993" priority="2811" operator="equal">
      <formula>0</formula>
    </cfRule>
    <cfRule type="cellIs" dxfId="4992" priority="2812" operator="notEqual">
      <formula>0</formula>
    </cfRule>
  </conditionalFormatting>
  <conditionalFormatting sqref="E80 E85 E90 E100 E135">
    <cfRule type="cellIs" dxfId="4991" priority="2810" operator="equal">
      <formula>0</formula>
    </cfRule>
  </conditionalFormatting>
  <conditionalFormatting sqref="E105">
    <cfRule type="cellIs" dxfId="4990" priority="2807" operator="equal">
      <formula>0</formula>
    </cfRule>
  </conditionalFormatting>
  <conditionalFormatting sqref="E95">
    <cfRule type="cellIs" dxfId="4989" priority="2804" operator="equal">
      <formula>0</formula>
    </cfRule>
  </conditionalFormatting>
  <conditionalFormatting sqref="E103:E104">
    <cfRule type="cellIs" dxfId="4988" priority="2808" operator="equal">
      <formula>0</formula>
    </cfRule>
    <cfRule type="cellIs" dxfId="4987" priority="2809" operator="notEqual">
      <formula>0</formula>
    </cfRule>
  </conditionalFormatting>
  <conditionalFormatting sqref="E93:E94">
    <cfRule type="cellIs" dxfId="4986" priority="2805" operator="equal">
      <formula>0</formula>
    </cfRule>
    <cfRule type="cellIs" dxfId="4985" priority="2806" operator="notEqual">
      <formula>0</formula>
    </cfRule>
  </conditionalFormatting>
  <conditionalFormatting sqref="E110">
    <cfRule type="cellIs" dxfId="4984" priority="2798" operator="equal">
      <formula>0</formula>
    </cfRule>
  </conditionalFormatting>
  <conditionalFormatting sqref="E108:E109">
    <cfRule type="cellIs" dxfId="4983" priority="2799" operator="equal">
      <formula>0</formula>
    </cfRule>
    <cfRule type="cellIs" dxfId="4982" priority="2800" operator="notEqual">
      <formula>0</formula>
    </cfRule>
  </conditionalFormatting>
  <conditionalFormatting sqref="M105">
    <cfRule type="cellIs" dxfId="4981" priority="2667" operator="equal">
      <formula>0</formula>
    </cfRule>
  </conditionalFormatting>
  <conditionalFormatting sqref="F78:F79">
    <cfRule type="cellIs" dxfId="4980" priority="2793" operator="equal">
      <formula>0</formula>
    </cfRule>
    <cfRule type="cellIs" dxfId="4979" priority="2794" operator="notEqual">
      <formula>0</formula>
    </cfRule>
  </conditionalFormatting>
  <conditionalFormatting sqref="F83:F84 F88:F89 F98:F99 F133:F134">
    <cfRule type="cellIs" dxfId="4978" priority="2791" operator="equal">
      <formula>0</formula>
    </cfRule>
    <cfRule type="cellIs" dxfId="4977" priority="2792" operator="notEqual">
      <formula>0</formula>
    </cfRule>
  </conditionalFormatting>
  <conditionalFormatting sqref="F80 F85 F90 F100 F135">
    <cfRule type="cellIs" dxfId="4976" priority="2790" operator="equal">
      <formula>0</formula>
    </cfRule>
  </conditionalFormatting>
  <conditionalFormatting sqref="F105">
    <cfRule type="cellIs" dxfId="4975" priority="2787" operator="equal">
      <formula>0</formula>
    </cfRule>
  </conditionalFormatting>
  <conditionalFormatting sqref="F95">
    <cfRule type="cellIs" dxfId="4974" priority="2784" operator="equal">
      <formula>0</formula>
    </cfRule>
  </conditionalFormatting>
  <conditionalFormatting sqref="F103:F104">
    <cfRule type="cellIs" dxfId="4973" priority="2788" operator="equal">
      <formula>0</formula>
    </cfRule>
    <cfRule type="cellIs" dxfId="4972" priority="2789" operator="notEqual">
      <formula>0</formula>
    </cfRule>
  </conditionalFormatting>
  <conditionalFormatting sqref="F93:F94">
    <cfRule type="cellIs" dxfId="4971" priority="2785" operator="equal">
      <formula>0</formula>
    </cfRule>
    <cfRule type="cellIs" dxfId="4970" priority="2786" operator="notEqual">
      <formula>0</formula>
    </cfRule>
  </conditionalFormatting>
  <conditionalFormatting sqref="F110">
    <cfRule type="cellIs" dxfId="4969" priority="2778" operator="equal">
      <formula>0</formula>
    </cfRule>
  </conditionalFormatting>
  <conditionalFormatting sqref="F108:F109">
    <cfRule type="cellIs" dxfId="4968" priority="2779" operator="equal">
      <formula>0</formula>
    </cfRule>
    <cfRule type="cellIs" dxfId="4967" priority="2780" operator="notEqual">
      <formula>0</formula>
    </cfRule>
  </conditionalFormatting>
  <conditionalFormatting sqref="G78:G79">
    <cfRule type="cellIs" dxfId="4966" priority="2773" operator="equal">
      <formula>0</formula>
    </cfRule>
    <cfRule type="cellIs" dxfId="4965" priority="2774" operator="notEqual">
      <formula>0</formula>
    </cfRule>
  </conditionalFormatting>
  <conditionalFormatting sqref="G83:G84 G88:G89 G98:G99 G133:G134">
    <cfRule type="cellIs" dxfId="4964" priority="2771" operator="equal">
      <formula>0</formula>
    </cfRule>
    <cfRule type="cellIs" dxfId="4963" priority="2772" operator="notEqual">
      <formula>0</formula>
    </cfRule>
  </conditionalFormatting>
  <conditionalFormatting sqref="G80 G85 G90 G100 G135">
    <cfRule type="cellIs" dxfId="4962" priority="2770" operator="equal">
      <formula>0</formula>
    </cfRule>
  </conditionalFormatting>
  <conditionalFormatting sqref="G105">
    <cfRule type="cellIs" dxfId="4961" priority="2767" operator="equal">
      <formula>0</formula>
    </cfRule>
  </conditionalFormatting>
  <conditionalFormatting sqref="G95">
    <cfRule type="cellIs" dxfId="4960" priority="2764" operator="equal">
      <formula>0</formula>
    </cfRule>
  </conditionalFormatting>
  <conditionalFormatting sqref="G103:G104">
    <cfRule type="cellIs" dxfId="4959" priority="2768" operator="equal">
      <formula>0</formula>
    </cfRule>
    <cfRule type="cellIs" dxfId="4958" priority="2769" operator="notEqual">
      <formula>0</formula>
    </cfRule>
  </conditionalFormatting>
  <conditionalFormatting sqref="G93:G94">
    <cfRule type="cellIs" dxfId="4957" priority="2765" operator="equal">
      <formula>0</formula>
    </cfRule>
    <cfRule type="cellIs" dxfId="4956" priority="2766" operator="notEqual">
      <formula>0</formula>
    </cfRule>
  </conditionalFormatting>
  <conditionalFormatting sqref="G110">
    <cfRule type="cellIs" dxfId="4955" priority="2758" operator="equal">
      <formula>0</formula>
    </cfRule>
  </conditionalFormatting>
  <conditionalFormatting sqref="G108:G109">
    <cfRule type="cellIs" dxfId="4954" priority="2759" operator="equal">
      <formula>0</formula>
    </cfRule>
    <cfRule type="cellIs" dxfId="4953" priority="2760" operator="notEqual">
      <formula>0</formula>
    </cfRule>
  </conditionalFormatting>
  <conditionalFormatting sqref="H78:H79">
    <cfRule type="cellIs" dxfId="4952" priority="2753" operator="equal">
      <formula>0</formula>
    </cfRule>
    <cfRule type="cellIs" dxfId="4951" priority="2754" operator="notEqual">
      <formula>0</formula>
    </cfRule>
  </conditionalFormatting>
  <conditionalFormatting sqref="H83:H84 H88:H89 H98:H99 H133:H134">
    <cfRule type="cellIs" dxfId="4950" priority="2751" operator="equal">
      <formula>0</formula>
    </cfRule>
    <cfRule type="cellIs" dxfId="4949" priority="2752" operator="notEqual">
      <formula>0</formula>
    </cfRule>
  </conditionalFormatting>
  <conditionalFormatting sqref="H80 H85 H90 H100 H135">
    <cfRule type="cellIs" dxfId="4948" priority="2750" operator="equal">
      <formula>0</formula>
    </cfRule>
  </conditionalFormatting>
  <conditionalFormatting sqref="H105">
    <cfRule type="cellIs" dxfId="4947" priority="2747" operator="equal">
      <formula>0</formula>
    </cfRule>
  </conditionalFormatting>
  <conditionalFormatting sqref="H95">
    <cfRule type="cellIs" dxfId="4946" priority="2744" operator="equal">
      <formula>0</formula>
    </cfRule>
  </conditionalFormatting>
  <conditionalFormatting sqref="H103:H104">
    <cfRule type="cellIs" dxfId="4945" priority="2748" operator="equal">
      <formula>0</formula>
    </cfRule>
    <cfRule type="cellIs" dxfId="4944" priority="2749" operator="notEqual">
      <formula>0</formula>
    </cfRule>
  </conditionalFormatting>
  <conditionalFormatting sqref="H93:H94">
    <cfRule type="cellIs" dxfId="4943" priority="2745" operator="equal">
      <formula>0</formula>
    </cfRule>
    <cfRule type="cellIs" dxfId="4942" priority="2746" operator="notEqual">
      <formula>0</formula>
    </cfRule>
  </conditionalFormatting>
  <conditionalFormatting sqref="H107:H111 D111:G111 I111:S111 I107:S107 D107:G107">
    <cfRule type="cellIs" dxfId="4941" priority="2739" operator="equal">
      <formula>0</formula>
    </cfRule>
    <cfRule type="cellIs" dxfId="4940" priority="2740" operator="notEqual">
      <formula>0</formula>
    </cfRule>
  </conditionalFormatting>
  <conditionalFormatting sqref="I78:I79">
    <cfRule type="cellIs" dxfId="4939" priority="2733" operator="equal">
      <formula>0</formula>
    </cfRule>
    <cfRule type="cellIs" dxfId="4938" priority="2734" operator="notEqual">
      <formula>0</formula>
    </cfRule>
  </conditionalFormatting>
  <conditionalFormatting sqref="I83:I84 I88:I89 I98:I99 I133:I134">
    <cfRule type="cellIs" dxfId="4937" priority="2731" operator="equal">
      <formula>0</formula>
    </cfRule>
    <cfRule type="cellIs" dxfId="4936" priority="2732" operator="notEqual">
      <formula>0</formula>
    </cfRule>
  </conditionalFormatting>
  <conditionalFormatting sqref="I80 I85 I90 I100 I135">
    <cfRule type="cellIs" dxfId="4935" priority="2730" operator="equal">
      <formula>0</formula>
    </cfRule>
  </conditionalFormatting>
  <conditionalFormatting sqref="I105">
    <cfRule type="cellIs" dxfId="4934" priority="2727" operator="equal">
      <formula>0</formula>
    </cfRule>
  </conditionalFormatting>
  <conditionalFormatting sqref="I95">
    <cfRule type="cellIs" dxfId="4933" priority="2724" operator="equal">
      <formula>0</formula>
    </cfRule>
  </conditionalFormatting>
  <conditionalFormatting sqref="I103:I104">
    <cfRule type="cellIs" dxfId="4932" priority="2728" operator="equal">
      <formula>0</formula>
    </cfRule>
    <cfRule type="cellIs" dxfId="4931" priority="2729" operator="notEqual">
      <formula>0</formula>
    </cfRule>
  </conditionalFormatting>
  <conditionalFormatting sqref="I93:I94">
    <cfRule type="cellIs" dxfId="4930" priority="2725" operator="equal">
      <formula>0</formula>
    </cfRule>
    <cfRule type="cellIs" dxfId="4929" priority="2726" operator="notEqual">
      <formula>0</formula>
    </cfRule>
  </conditionalFormatting>
  <conditionalFormatting sqref="I110">
    <cfRule type="cellIs" dxfId="4928" priority="2718" operator="equal">
      <formula>0</formula>
    </cfRule>
  </conditionalFormatting>
  <conditionalFormatting sqref="I108:I109">
    <cfRule type="cellIs" dxfId="4927" priority="2719" operator="equal">
      <formula>0</formula>
    </cfRule>
    <cfRule type="cellIs" dxfId="4926" priority="2720" operator="notEqual">
      <formula>0</formula>
    </cfRule>
  </conditionalFormatting>
  <conditionalFormatting sqref="J78:J79">
    <cfRule type="cellIs" dxfId="4925" priority="2713" operator="equal">
      <formula>0</formula>
    </cfRule>
    <cfRule type="cellIs" dxfId="4924" priority="2714" operator="notEqual">
      <formula>0</formula>
    </cfRule>
  </conditionalFormatting>
  <conditionalFormatting sqref="J83:J84 J88:J89 J98:J99 J133:J134">
    <cfRule type="cellIs" dxfId="4923" priority="2711" operator="equal">
      <formula>0</formula>
    </cfRule>
    <cfRule type="cellIs" dxfId="4922" priority="2712" operator="notEqual">
      <formula>0</formula>
    </cfRule>
  </conditionalFormatting>
  <conditionalFormatting sqref="J80 J85 J90 J100 J135">
    <cfRule type="cellIs" dxfId="4921" priority="2710" operator="equal">
      <formula>0</formula>
    </cfRule>
  </conditionalFormatting>
  <conditionalFormatting sqref="J95">
    <cfRule type="cellIs" dxfId="4920" priority="2704" operator="equal">
      <formula>0</formula>
    </cfRule>
  </conditionalFormatting>
  <conditionalFormatting sqref="J93:J94">
    <cfRule type="cellIs" dxfId="4919" priority="2705" operator="equal">
      <formula>0</formula>
    </cfRule>
    <cfRule type="cellIs" dxfId="4918" priority="2706" operator="notEqual">
      <formula>0</formula>
    </cfRule>
  </conditionalFormatting>
  <conditionalFormatting sqref="J110">
    <cfRule type="cellIs" dxfId="4917" priority="2698" operator="equal">
      <formula>0</formula>
    </cfRule>
  </conditionalFormatting>
  <conditionalFormatting sqref="J108:J109">
    <cfRule type="cellIs" dxfId="4916" priority="2699" operator="equal">
      <formula>0</formula>
    </cfRule>
    <cfRule type="cellIs" dxfId="4915" priority="2700" operator="notEqual">
      <formula>0</formula>
    </cfRule>
  </conditionalFormatting>
  <conditionalFormatting sqref="K78:K79">
    <cfRule type="cellIs" dxfId="4914" priority="2693" operator="equal">
      <formula>0</formula>
    </cfRule>
    <cfRule type="cellIs" dxfId="4913" priority="2694" operator="notEqual">
      <formula>0</formula>
    </cfRule>
  </conditionalFormatting>
  <conditionalFormatting sqref="K83:K84 K88:K89 K98:K99 K133:K134">
    <cfRule type="cellIs" dxfId="4912" priority="2691" operator="equal">
      <formula>0</formula>
    </cfRule>
    <cfRule type="cellIs" dxfId="4911" priority="2692" operator="notEqual">
      <formula>0</formula>
    </cfRule>
  </conditionalFormatting>
  <conditionalFormatting sqref="K80 K85 K90 K100 K135">
    <cfRule type="cellIs" dxfId="4910" priority="2690" operator="equal">
      <formula>0</formula>
    </cfRule>
  </conditionalFormatting>
  <conditionalFormatting sqref="K95">
    <cfRule type="cellIs" dxfId="4909" priority="2684" operator="equal">
      <formula>0</formula>
    </cfRule>
  </conditionalFormatting>
  <conditionalFormatting sqref="K93:K94">
    <cfRule type="cellIs" dxfId="4908" priority="2685" operator="equal">
      <formula>0</formula>
    </cfRule>
    <cfRule type="cellIs" dxfId="4907" priority="2686" operator="notEqual">
      <formula>0</formula>
    </cfRule>
  </conditionalFormatting>
  <conditionalFormatting sqref="K110">
    <cfRule type="cellIs" dxfId="4906" priority="2678" operator="equal">
      <formula>0</formula>
    </cfRule>
  </conditionalFormatting>
  <conditionalFormatting sqref="K108:K109">
    <cfRule type="cellIs" dxfId="4905" priority="2679" operator="equal">
      <formula>0</formula>
    </cfRule>
    <cfRule type="cellIs" dxfId="4904" priority="2680" operator="notEqual">
      <formula>0</formula>
    </cfRule>
  </conditionalFormatting>
  <conditionalFormatting sqref="L80 L85 L90 L100 L135">
    <cfRule type="cellIs" dxfId="4903" priority="2674" operator="equal">
      <formula>0</formula>
    </cfRule>
  </conditionalFormatting>
  <conditionalFormatting sqref="L105">
    <cfRule type="cellIs" dxfId="4902" priority="2673" operator="equal">
      <formula>0</formula>
    </cfRule>
  </conditionalFormatting>
  <conditionalFormatting sqref="L95">
    <cfRule type="cellIs" dxfId="4901" priority="2672" operator="equal">
      <formula>0</formula>
    </cfRule>
  </conditionalFormatting>
  <conditionalFormatting sqref="L110">
    <cfRule type="cellIs" dxfId="4900" priority="2670" operator="equal">
      <formula>0</formula>
    </cfRule>
  </conditionalFormatting>
  <conditionalFormatting sqref="M80 M85 M90 M100 M135">
    <cfRule type="cellIs" dxfId="4899" priority="2668" operator="equal">
      <formula>0</formula>
    </cfRule>
  </conditionalFormatting>
  <conditionalFormatting sqref="M95">
    <cfRule type="cellIs" dxfId="4898" priority="2666" operator="equal">
      <formula>0</formula>
    </cfRule>
  </conditionalFormatting>
  <conditionalFormatting sqref="M110">
    <cfRule type="cellIs" dxfId="4897" priority="2664" operator="equal">
      <formula>0</formula>
    </cfRule>
  </conditionalFormatting>
  <conditionalFormatting sqref="N80 N85 N90 N100 N135">
    <cfRule type="cellIs" dxfId="4896" priority="2662" operator="equal">
      <formula>0</formula>
    </cfRule>
  </conditionalFormatting>
  <conditionalFormatting sqref="N105">
    <cfRule type="cellIs" dxfId="4895" priority="2661" operator="equal">
      <formula>0</formula>
    </cfRule>
  </conditionalFormatting>
  <conditionalFormatting sqref="N95">
    <cfRule type="cellIs" dxfId="4894" priority="2660" operator="equal">
      <formula>0</formula>
    </cfRule>
  </conditionalFormatting>
  <conditionalFormatting sqref="N110">
    <cfRule type="cellIs" dxfId="4893" priority="2658" operator="equal">
      <formula>0</formula>
    </cfRule>
  </conditionalFormatting>
  <conditionalFormatting sqref="O80 O85 O90 O100 O135">
    <cfRule type="cellIs" dxfId="4892" priority="2656" operator="equal">
      <formula>0</formula>
    </cfRule>
  </conditionalFormatting>
  <conditionalFormatting sqref="O105">
    <cfRule type="cellIs" dxfId="4891" priority="2655" operator="equal">
      <formula>0</formula>
    </cfRule>
  </conditionalFormatting>
  <conditionalFormatting sqref="O95">
    <cfRule type="cellIs" dxfId="4890" priority="2654" operator="equal">
      <formula>0</formula>
    </cfRule>
  </conditionalFormatting>
  <conditionalFormatting sqref="O110">
    <cfRule type="cellIs" dxfId="4889" priority="2652" operator="equal">
      <formula>0</formula>
    </cfRule>
  </conditionalFormatting>
  <conditionalFormatting sqref="Y182:AO186">
    <cfRule type="cellIs" dxfId="4888" priority="2240" operator="equal">
      <formula>0</formula>
    </cfRule>
  </conditionalFormatting>
  <conditionalFormatting sqref="T11">
    <cfRule type="cellIs" dxfId="4887" priority="367" operator="equal">
      <formula>0</formula>
    </cfRule>
  </conditionalFormatting>
  <conditionalFormatting sqref="D11">
    <cfRule type="cellIs" dxfId="4886" priority="366" operator="equal">
      <formula>0</formula>
    </cfRule>
  </conditionalFormatting>
  <conditionalFormatting sqref="E11">
    <cfRule type="cellIs" dxfId="4885" priority="365" operator="equal">
      <formula>0</formula>
    </cfRule>
  </conditionalFormatting>
  <conditionalFormatting sqref="F11">
    <cfRule type="cellIs" dxfId="4884" priority="364" operator="equal">
      <formula>0</formula>
    </cfRule>
  </conditionalFormatting>
  <conditionalFormatting sqref="G11">
    <cfRule type="cellIs" dxfId="4883" priority="363" operator="equal">
      <formula>0</formula>
    </cfRule>
  </conditionalFormatting>
  <conditionalFormatting sqref="H11">
    <cfRule type="cellIs" dxfId="4882" priority="362" operator="equal">
      <formula>0</formula>
    </cfRule>
  </conditionalFormatting>
  <conditionalFormatting sqref="I11">
    <cfRule type="cellIs" dxfId="4881" priority="361" operator="equal">
      <formula>0</formula>
    </cfRule>
  </conditionalFormatting>
  <conditionalFormatting sqref="J11">
    <cfRule type="cellIs" dxfId="4880" priority="360" operator="equal">
      <formula>0</formula>
    </cfRule>
  </conditionalFormatting>
  <conditionalFormatting sqref="K11">
    <cfRule type="cellIs" dxfId="4879" priority="359" operator="equal">
      <formula>0</formula>
    </cfRule>
  </conditionalFormatting>
  <conditionalFormatting sqref="L11">
    <cfRule type="cellIs" dxfId="4878" priority="358" operator="equal">
      <formula>0</formula>
    </cfRule>
  </conditionalFormatting>
  <conditionalFormatting sqref="M11">
    <cfRule type="cellIs" dxfId="4877" priority="357" operator="equal">
      <formula>0</formula>
    </cfRule>
  </conditionalFormatting>
  <conditionalFormatting sqref="N11">
    <cfRule type="cellIs" dxfId="4876" priority="356" operator="equal">
      <formula>0</formula>
    </cfRule>
  </conditionalFormatting>
  <conditionalFormatting sqref="O11">
    <cfRule type="cellIs" dxfId="4875" priority="355" operator="equal">
      <formula>0</formula>
    </cfRule>
  </conditionalFormatting>
  <conditionalFormatting sqref="P11">
    <cfRule type="cellIs" dxfId="4874" priority="354" operator="equal">
      <formula>0</formula>
    </cfRule>
  </conditionalFormatting>
  <conditionalFormatting sqref="Q11">
    <cfRule type="cellIs" dxfId="4873" priority="353" operator="equal">
      <formula>0</formula>
    </cfRule>
  </conditionalFormatting>
  <conditionalFormatting sqref="R11">
    <cfRule type="cellIs" dxfId="4872" priority="352" operator="equal">
      <formula>0</formula>
    </cfRule>
  </conditionalFormatting>
  <conditionalFormatting sqref="S11">
    <cfRule type="cellIs" dxfId="4871" priority="351" operator="equal">
      <formula>0</formula>
    </cfRule>
  </conditionalFormatting>
  <conditionalFormatting sqref="G130">
    <cfRule type="cellIs" dxfId="4870" priority="75" operator="equal">
      <formula>0</formula>
    </cfRule>
  </conditionalFormatting>
  <conditionalFormatting sqref="I130">
    <cfRule type="cellIs" dxfId="4869" priority="70" operator="equal">
      <formula>0</formula>
    </cfRule>
  </conditionalFormatting>
  <conditionalFormatting sqref="J130">
    <cfRule type="cellIs" dxfId="4868" priority="67" operator="equal">
      <formula>0</formula>
    </cfRule>
  </conditionalFormatting>
  <conditionalFormatting sqref="O130">
    <cfRule type="cellIs" dxfId="4867" priority="60" operator="equal">
      <formula>0</formula>
    </cfRule>
  </conditionalFormatting>
  <conditionalFormatting sqref="D77">
    <cfRule type="cellIs" dxfId="4866" priority="188" operator="equal">
      <formula>0</formula>
    </cfRule>
    <cfRule type="cellIs" dxfId="4865" priority="189" operator="notEqual">
      <formula>0</formula>
    </cfRule>
  </conditionalFormatting>
  <conditionalFormatting sqref="T115:T116">
    <cfRule type="cellIs" dxfId="4864" priority="187" operator="equal">
      <formula>0</formula>
    </cfRule>
  </conditionalFormatting>
  <conditionalFormatting sqref="P115">
    <cfRule type="cellIs" dxfId="4863" priority="186" operator="equal">
      <formula>0</formula>
    </cfRule>
  </conditionalFormatting>
  <conditionalFormatting sqref="Q115">
    <cfRule type="cellIs" dxfId="4862" priority="185" operator="equal">
      <formula>0</formula>
    </cfRule>
  </conditionalFormatting>
  <conditionalFormatting sqref="R115">
    <cfRule type="cellIs" dxfId="4861" priority="184" operator="equal">
      <formula>0</formula>
    </cfRule>
  </conditionalFormatting>
  <conditionalFormatting sqref="S115">
    <cfRule type="cellIs" dxfId="4860" priority="183" operator="equal">
      <formula>0</formula>
    </cfRule>
  </conditionalFormatting>
  <conditionalFormatting sqref="D115">
    <cfRule type="cellIs" dxfId="4859" priority="180" operator="equal">
      <formula>0</formula>
    </cfRule>
  </conditionalFormatting>
  <conditionalFormatting sqref="D113:D114">
    <cfRule type="cellIs" dxfId="4858" priority="181" operator="equal">
      <formula>0</formula>
    </cfRule>
    <cfRule type="cellIs" dxfId="4857" priority="182" operator="notEqual">
      <formula>0</formula>
    </cfRule>
  </conditionalFormatting>
  <conditionalFormatting sqref="E115">
    <cfRule type="cellIs" dxfId="4856" priority="177" operator="equal">
      <formula>0</formula>
    </cfRule>
  </conditionalFormatting>
  <conditionalFormatting sqref="E113:E114">
    <cfRule type="cellIs" dxfId="4855" priority="178" operator="equal">
      <formula>0</formula>
    </cfRule>
    <cfRule type="cellIs" dxfId="4854" priority="179" operator="notEqual">
      <formula>0</formula>
    </cfRule>
  </conditionalFormatting>
  <conditionalFormatting sqref="F115">
    <cfRule type="cellIs" dxfId="4853" priority="174" operator="equal">
      <formula>0</formula>
    </cfRule>
  </conditionalFormatting>
  <conditionalFormatting sqref="F113:F114">
    <cfRule type="cellIs" dxfId="4852" priority="175" operator="equal">
      <formula>0</formula>
    </cfRule>
    <cfRule type="cellIs" dxfId="4851" priority="176" operator="notEqual">
      <formula>0</formula>
    </cfRule>
  </conditionalFormatting>
  <conditionalFormatting sqref="G115">
    <cfRule type="cellIs" dxfId="4850" priority="171" operator="equal">
      <formula>0</formula>
    </cfRule>
  </conditionalFormatting>
  <conditionalFormatting sqref="G113:G114">
    <cfRule type="cellIs" dxfId="4849" priority="172" operator="equal">
      <formula>0</formula>
    </cfRule>
    <cfRule type="cellIs" dxfId="4848" priority="173" operator="notEqual">
      <formula>0</formula>
    </cfRule>
  </conditionalFormatting>
  <conditionalFormatting sqref="H112:H116 D116:G116 I116:S116 I112:S112 D112:G112">
    <cfRule type="cellIs" dxfId="4847" priority="169" operator="equal">
      <formula>0</formula>
    </cfRule>
    <cfRule type="cellIs" dxfId="4846" priority="170" operator="notEqual">
      <formula>0</formula>
    </cfRule>
  </conditionalFormatting>
  <conditionalFormatting sqref="I115">
    <cfRule type="cellIs" dxfId="4845" priority="166" operator="equal">
      <formula>0</formula>
    </cfRule>
  </conditionalFormatting>
  <conditionalFormatting sqref="I113:I114">
    <cfRule type="cellIs" dxfId="4844" priority="167" operator="equal">
      <formula>0</formula>
    </cfRule>
    <cfRule type="cellIs" dxfId="4843" priority="168" operator="notEqual">
      <formula>0</formula>
    </cfRule>
  </conditionalFormatting>
  <conditionalFormatting sqref="J115">
    <cfRule type="cellIs" dxfId="4842" priority="163" operator="equal">
      <formula>0</formula>
    </cfRule>
  </conditionalFormatting>
  <conditionalFormatting sqref="J113:J114">
    <cfRule type="cellIs" dxfId="4841" priority="164" operator="equal">
      <formula>0</formula>
    </cfRule>
    <cfRule type="cellIs" dxfId="4840" priority="165" operator="notEqual">
      <formula>0</formula>
    </cfRule>
  </conditionalFormatting>
  <conditionalFormatting sqref="K115">
    <cfRule type="cellIs" dxfId="4839" priority="160" operator="equal">
      <formula>0</formula>
    </cfRule>
  </conditionalFormatting>
  <conditionalFormatting sqref="K113:K114">
    <cfRule type="cellIs" dxfId="4838" priority="161" operator="equal">
      <formula>0</formula>
    </cfRule>
    <cfRule type="cellIs" dxfId="4837" priority="162" operator="notEqual">
      <formula>0</formula>
    </cfRule>
  </conditionalFormatting>
  <conditionalFormatting sqref="L115">
    <cfRule type="cellIs" dxfId="4836" priority="159" operator="equal">
      <formula>0</formula>
    </cfRule>
  </conditionalFormatting>
  <conditionalFormatting sqref="M115">
    <cfRule type="cellIs" dxfId="4835" priority="158" operator="equal">
      <formula>0</formula>
    </cfRule>
  </conditionalFormatting>
  <conditionalFormatting sqref="N115">
    <cfRule type="cellIs" dxfId="4834" priority="157" operator="equal">
      <formula>0</formula>
    </cfRule>
  </conditionalFormatting>
  <conditionalFormatting sqref="O115">
    <cfRule type="cellIs" dxfId="4833" priority="156" operator="equal">
      <formula>0</formula>
    </cfRule>
  </conditionalFormatting>
  <conditionalFormatting sqref="T120:T121">
    <cfRule type="cellIs" dxfId="4832" priority="155" operator="equal">
      <formula>0</formula>
    </cfRule>
  </conditionalFormatting>
  <conditionalFormatting sqref="P120">
    <cfRule type="cellIs" dxfId="4831" priority="154" operator="equal">
      <formula>0</formula>
    </cfRule>
  </conditionalFormatting>
  <conditionalFormatting sqref="Q120">
    <cfRule type="cellIs" dxfId="4830" priority="153" operator="equal">
      <formula>0</formula>
    </cfRule>
  </conditionalFormatting>
  <conditionalFormatting sqref="R120">
    <cfRule type="cellIs" dxfId="4829" priority="152" operator="equal">
      <formula>0</formula>
    </cfRule>
  </conditionalFormatting>
  <conditionalFormatting sqref="S120">
    <cfRule type="cellIs" dxfId="4828" priority="151" operator="equal">
      <formula>0</formula>
    </cfRule>
  </conditionalFormatting>
  <conditionalFormatting sqref="D120">
    <cfRule type="cellIs" dxfId="4827" priority="148" operator="equal">
      <formula>0</formula>
    </cfRule>
  </conditionalFormatting>
  <conditionalFormatting sqref="D118:D119">
    <cfRule type="cellIs" dxfId="4826" priority="149" operator="equal">
      <formula>0</formula>
    </cfRule>
    <cfRule type="cellIs" dxfId="4825" priority="150" operator="notEqual">
      <formula>0</formula>
    </cfRule>
  </conditionalFormatting>
  <conditionalFormatting sqref="E120">
    <cfRule type="cellIs" dxfId="4824" priority="145" operator="equal">
      <formula>0</formula>
    </cfRule>
  </conditionalFormatting>
  <conditionalFormatting sqref="E118:E119">
    <cfRule type="cellIs" dxfId="4823" priority="146" operator="equal">
      <formula>0</formula>
    </cfRule>
    <cfRule type="cellIs" dxfId="4822" priority="147" operator="notEqual">
      <formula>0</formula>
    </cfRule>
  </conditionalFormatting>
  <conditionalFormatting sqref="F120">
    <cfRule type="cellIs" dxfId="4821" priority="142" operator="equal">
      <formula>0</formula>
    </cfRule>
  </conditionalFormatting>
  <conditionalFormatting sqref="F118:F119">
    <cfRule type="cellIs" dxfId="4820" priority="143" operator="equal">
      <formula>0</formula>
    </cfRule>
    <cfRule type="cellIs" dxfId="4819" priority="144" operator="notEqual">
      <formula>0</formula>
    </cfRule>
  </conditionalFormatting>
  <conditionalFormatting sqref="G120">
    <cfRule type="cellIs" dxfId="4818" priority="139" operator="equal">
      <formula>0</formula>
    </cfRule>
  </conditionalFormatting>
  <conditionalFormatting sqref="G118:G119">
    <cfRule type="cellIs" dxfId="4817" priority="140" operator="equal">
      <formula>0</formula>
    </cfRule>
    <cfRule type="cellIs" dxfId="4816" priority="141" operator="notEqual">
      <formula>0</formula>
    </cfRule>
  </conditionalFormatting>
  <conditionalFormatting sqref="H117:H121 D121:G121 I121:S121 I117:S117 D117:G117">
    <cfRule type="cellIs" dxfId="4815" priority="137" operator="equal">
      <formula>0</formula>
    </cfRule>
    <cfRule type="cellIs" dxfId="4814" priority="138" operator="notEqual">
      <formula>0</formula>
    </cfRule>
  </conditionalFormatting>
  <conditionalFormatting sqref="I120">
    <cfRule type="cellIs" dxfId="4813" priority="134" operator="equal">
      <formula>0</formula>
    </cfRule>
  </conditionalFormatting>
  <conditionalFormatting sqref="I118:I119">
    <cfRule type="cellIs" dxfId="4812" priority="135" operator="equal">
      <formula>0</formula>
    </cfRule>
    <cfRule type="cellIs" dxfId="4811" priority="136" operator="notEqual">
      <formula>0</formula>
    </cfRule>
  </conditionalFormatting>
  <conditionalFormatting sqref="J120">
    <cfRule type="cellIs" dxfId="4810" priority="131" operator="equal">
      <formula>0</formula>
    </cfRule>
  </conditionalFormatting>
  <conditionalFormatting sqref="J118:J119">
    <cfRule type="cellIs" dxfId="4809" priority="132" operator="equal">
      <formula>0</formula>
    </cfRule>
    <cfRule type="cellIs" dxfId="4808" priority="133" operator="notEqual">
      <formula>0</formula>
    </cfRule>
  </conditionalFormatting>
  <conditionalFormatting sqref="K120">
    <cfRule type="cellIs" dxfId="4807" priority="128" operator="equal">
      <formula>0</formula>
    </cfRule>
  </conditionalFormatting>
  <conditionalFormatting sqref="K118:K119">
    <cfRule type="cellIs" dxfId="4806" priority="129" operator="equal">
      <formula>0</formula>
    </cfRule>
    <cfRule type="cellIs" dxfId="4805" priority="130" operator="notEqual">
      <formula>0</formula>
    </cfRule>
  </conditionalFormatting>
  <conditionalFormatting sqref="L120">
    <cfRule type="cellIs" dxfId="4804" priority="127" operator="equal">
      <formula>0</formula>
    </cfRule>
  </conditionalFormatting>
  <conditionalFormatting sqref="M120">
    <cfRule type="cellIs" dxfId="4803" priority="126" operator="equal">
      <formula>0</formula>
    </cfRule>
  </conditionalFormatting>
  <conditionalFormatting sqref="N120">
    <cfRule type="cellIs" dxfId="4802" priority="125" operator="equal">
      <formula>0</formula>
    </cfRule>
  </conditionalFormatting>
  <conditionalFormatting sqref="O120">
    <cfRule type="cellIs" dxfId="4801" priority="124" operator="equal">
      <formula>0</formula>
    </cfRule>
  </conditionalFormatting>
  <conditionalFormatting sqref="T125:T126">
    <cfRule type="cellIs" dxfId="4800" priority="123" operator="equal">
      <formula>0</formula>
    </cfRule>
  </conditionalFormatting>
  <conditionalFormatting sqref="P125">
    <cfRule type="cellIs" dxfId="4799" priority="122" operator="equal">
      <formula>0</formula>
    </cfRule>
  </conditionalFormatting>
  <conditionalFormatting sqref="Q125">
    <cfRule type="cellIs" dxfId="4798" priority="121" operator="equal">
      <formula>0</formula>
    </cfRule>
  </conditionalFormatting>
  <conditionalFormatting sqref="R125">
    <cfRule type="cellIs" dxfId="4797" priority="120" operator="equal">
      <formula>0</formula>
    </cfRule>
  </conditionalFormatting>
  <conditionalFormatting sqref="S125">
    <cfRule type="cellIs" dxfId="4796" priority="119" operator="equal">
      <formula>0</formula>
    </cfRule>
  </conditionalFormatting>
  <conditionalFormatting sqref="D125">
    <cfRule type="cellIs" dxfId="4795" priority="116" operator="equal">
      <formula>0</formula>
    </cfRule>
  </conditionalFormatting>
  <conditionalFormatting sqref="D123:D124">
    <cfRule type="cellIs" dxfId="4794" priority="117" operator="equal">
      <formula>0</formula>
    </cfRule>
    <cfRule type="cellIs" dxfId="4793" priority="118" operator="notEqual">
      <formula>0</formula>
    </cfRule>
  </conditionalFormatting>
  <conditionalFormatting sqref="E125">
    <cfRule type="cellIs" dxfId="4792" priority="113" operator="equal">
      <formula>0</formula>
    </cfRule>
  </conditionalFormatting>
  <conditionalFormatting sqref="E123:E124">
    <cfRule type="cellIs" dxfId="4791" priority="114" operator="equal">
      <formula>0</formula>
    </cfRule>
    <cfRule type="cellIs" dxfId="4790" priority="115" operator="notEqual">
      <formula>0</formula>
    </cfRule>
  </conditionalFormatting>
  <conditionalFormatting sqref="F125">
    <cfRule type="cellIs" dxfId="4789" priority="110" operator="equal">
      <formula>0</formula>
    </cfRule>
  </conditionalFormatting>
  <conditionalFormatting sqref="F123:F124">
    <cfRule type="cellIs" dxfId="4788" priority="111" operator="equal">
      <formula>0</formula>
    </cfRule>
    <cfRule type="cellIs" dxfId="4787" priority="112" operator="notEqual">
      <formula>0</formula>
    </cfRule>
  </conditionalFormatting>
  <conditionalFormatting sqref="G125">
    <cfRule type="cellIs" dxfId="4786" priority="107" operator="equal">
      <formula>0</formula>
    </cfRule>
  </conditionalFormatting>
  <conditionalFormatting sqref="G123:G124">
    <cfRule type="cellIs" dxfId="4785" priority="108" operator="equal">
      <formula>0</formula>
    </cfRule>
    <cfRule type="cellIs" dxfId="4784" priority="109" operator="notEqual">
      <formula>0</formula>
    </cfRule>
  </conditionalFormatting>
  <conditionalFormatting sqref="H122:H126 D126:G126 I126:S126 I122:S122 D122:G122">
    <cfRule type="cellIs" dxfId="4783" priority="105" operator="equal">
      <formula>0</formula>
    </cfRule>
    <cfRule type="cellIs" dxfId="4782" priority="106" operator="notEqual">
      <formula>0</formula>
    </cfRule>
  </conditionalFormatting>
  <conditionalFormatting sqref="I125">
    <cfRule type="cellIs" dxfId="4781" priority="102" operator="equal">
      <formula>0</formula>
    </cfRule>
  </conditionalFormatting>
  <conditionalFormatting sqref="I123:I124">
    <cfRule type="cellIs" dxfId="4780" priority="103" operator="equal">
      <formula>0</formula>
    </cfRule>
    <cfRule type="cellIs" dxfId="4779" priority="104" operator="notEqual">
      <formula>0</formula>
    </cfRule>
  </conditionalFormatting>
  <conditionalFormatting sqref="J125">
    <cfRule type="cellIs" dxfId="4778" priority="99" operator="equal">
      <formula>0</formula>
    </cfRule>
  </conditionalFormatting>
  <conditionalFormatting sqref="J123:J124">
    <cfRule type="cellIs" dxfId="4777" priority="100" operator="equal">
      <formula>0</formula>
    </cfRule>
    <cfRule type="cellIs" dxfId="4776" priority="101" operator="notEqual">
      <formula>0</formula>
    </cfRule>
  </conditionalFormatting>
  <conditionalFormatting sqref="K125">
    <cfRule type="cellIs" dxfId="4775" priority="96" operator="equal">
      <formula>0</formula>
    </cfRule>
  </conditionalFormatting>
  <conditionalFormatting sqref="K123:K124">
    <cfRule type="cellIs" dxfId="4774" priority="97" operator="equal">
      <formula>0</formula>
    </cfRule>
    <cfRule type="cellIs" dxfId="4773" priority="98" operator="notEqual">
      <formula>0</formula>
    </cfRule>
  </conditionalFormatting>
  <conditionalFormatting sqref="L125">
    <cfRule type="cellIs" dxfId="4772" priority="95" operator="equal">
      <formula>0</formula>
    </cfRule>
  </conditionalFormatting>
  <conditionalFormatting sqref="M125">
    <cfRule type="cellIs" dxfId="4771" priority="94" operator="equal">
      <formula>0</formula>
    </cfRule>
  </conditionalFormatting>
  <conditionalFormatting sqref="N125">
    <cfRule type="cellIs" dxfId="4770" priority="93" operator="equal">
      <formula>0</formula>
    </cfRule>
  </conditionalFormatting>
  <conditionalFormatting sqref="O125">
    <cfRule type="cellIs" dxfId="4769" priority="92" operator="equal">
      <formula>0</formula>
    </cfRule>
  </conditionalFormatting>
  <conditionalFormatting sqref="T130:T131">
    <cfRule type="cellIs" dxfId="4768" priority="91" operator="equal">
      <formula>0</formula>
    </cfRule>
  </conditionalFormatting>
  <conditionalFormatting sqref="P130">
    <cfRule type="cellIs" dxfId="4767" priority="90" operator="equal">
      <formula>0</formula>
    </cfRule>
  </conditionalFormatting>
  <conditionalFormatting sqref="Q130">
    <cfRule type="cellIs" dxfId="4766" priority="89" operator="equal">
      <formula>0</formula>
    </cfRule>
  </conditionalFormatting>
  <conditionalFormatting sqref="R130">
    <cfRule type="cellIs" dxfId="4765" priority="88" operator="equal">
      <formula>0</formula>
    </cfRule>
  </conditionalFormatting>
  <conditionalFormatting sqref="S130">
    <cfRule type="cellIs" dxfId="4764" priority="87" operator="equal">
      <formula>0</formula>
    </cfRule>
  </conditionalFormatting>
  <conditionalFormatting sqref="D130">
    <cfRule type="cellIs" dxfId="4763" priority="84" operator="equal">
      <formula>0</formula>
    </cfRule>
  </conditionalFormatting>
  <conditionalFormatting sqref="D128:D129">
    <cfRule type="cellIs" dxfId="4762" priority="85" operator="equal">
      <formula>0</formula>
    </cfRule>
    <cfRule type="cellIs" dxfId="4761" priority="86" operator="notEqual">
      <formula>0</formula>
    </cfRule>
  </conditionalFormatting>
  <conditionalFormatting sqref="E130">
    <cfRule type="cellIs" dxfId="4760" priority="81" operator="equal">
      <formula>0</formula>
    </cfRule>
  </conditionalFormatting>
  <conditionalFormatting sqref="E128:E129">
    <cfRule type="cellIs" dxfId="4759" priority="82" operator="equal">
      <formula>0</formula>
    </cfRule>
    <cfRule type="cellIs" dxfId="4758" priority="83" operator="notEqual">
      <formula>0</formula>
    </cfRule>
  </conditionalFormatting>
  <conditionalFormatting sqref="F130">
    <cfRule type="cellIs" dxfId="4757" priority="78" operator="equal">
      <formula>0</formula>
    </cfRule>
  </conditionalFormatting>
  <conditionalFormatting sqref="F128:F129">
    <cfRule type="cellIs" dxfId="4756" priority="79" operator="equal">
      <formula>0</formula>
    </cfRule>
    <cfRule type="cellIs" dxfId="4755" priority="80" operator="notEqual">
      <formula>0</formula>
    </cfRule>
  </conditionalFormatting>
  <conditionalFormatting sqref="G128:G129">
    <cfRule type="cellIs" dxfId="4754" priority="76" operator="equal">
      <formula>0</formula>
    </cfRule>
    <cfRule type="cellIs" dxfId="4753" priority="77" operator="notEqual">
      <formula>0</formula>
    </cfRule>
  </conditionalFormatting>
  <conditionalFormatting sqref="H127:H131 D131:G131 I131:S131 I127:S127 D127:G127">
    <cfRule type="cellIs" dxfId="4752" priority="73" operator="equal">
      <formula>0</formula>
    </cfRule>
    <cfRule type="cellIs" dxfId="4751" priority="74" operator="notEqual">
      <formula>0</formula>
    </cfRule>
  </conditionalFormatting>
  <conditionalFormatting sqref="I128:I129">
    <cfRule type="cellIs" dxfId="4750" priority="71" operator="equal">
      <formula>0</formula>
    </cfRule>
    <cfRule type="cellIs" dxfId="4749" priority="72" operator="notEqual">
      <formula>0</formula>
    </cfRule>
  </conditionalFormatting>
  <conditionalFormatting sqref="J128:J129">
    <cfRule type="cellIs" dxfId="4748" priority="68" operator="equal">
      <formula>0</formula>
    </cfRule>
    <cfRule type="cellIs" dxfId="4747" priority="69" operator="notEqual">
      <formula>0</formula>
    </cfRule>
  </conditionalFormatting>
  <conditionalFormatting sqref="K130">
    <cfRule type="cellIs" dxfId="4746" priority="64" operator="equal">
      <formula>0</formula>
    </cfRule>
  </conditionalFormatting>
  <conditionalFormatting sqref="K128:K129">
    <cfRule type="cellIs" dxfId="4745" priority="65" operator="equal">
      <formula>0</formula>
    </cfRule>
    <cfRule type="cellIs" dxfId="4744" priority="66" operator="notEqual">
      <formula>0</formula>
    </cfRule>
  </conditionalFormatting>
  <conditionalFormatting sqref="L130">
    <cfRule type="cellIs" dxfId="4743" priority="63" operator="equal">
      <formula>0</formula>
    </cfRule>
  </conditionalFormatting>
  <conditionalFormatting sqref="M130">
    <cfRule type="cellIs" dxfId="4742" priority="62" operator="equal">
      <formula>0</formula>
    </cfRule>
  </conditionalFormatting>
  <conditionalFormatting sqref="N130">
    <cfRule type="cellIs" dxfId="4741" priority="61" operator="equal">
      <formula>0</formula>
    </cfRule>
  </conditionalFormatting>
  <conditionalFormatting sqref="Y177:AO181">
    <cfRule type="cellIs" dxfId="4740" priority="38" operator="equal">
      <formula>0</formula>
    </cfRule>
  </conditionalFormatting>
  <conditionalFormatting sqref="Y172:AO176">
    <cfRule type="cellIs" dxfId="4739" priority="37" operator="equal">
      <formula>0</formula>
    </cfRule>
  </conditionalFormatting>
  <conditionalFormatting sqref="Y167:AO171">
    <cfRule type="cellIs" dxfId="4738" priority="36" operator="equal">
      <formula>0</formula>
    </cfRule>
  </conditionalFormatting>
  <conditionalFormatting sqref="Y162:AO166">
    <cfRule type="cellIs" dxfId="4737" priority="35" operator="equal">
      <formula>0</formula>
    </cfRule>
  </conditionalFormatting>
  <conditionalFormatting sqref="Y157:AO161">
    <cfRule type="cellIs" dxfId="4736" priority="34" operator="equal">
      <formula>0</formula>
    </cfRule>
  </conditionalFormatting>
  <conditionalFormatting sqref="Y152:AO156">
    <cfRule type="cellIs" dxfId="4735" priority="33" operator="equal">
      <formula>0</formula>
    </cfRule>
  </conditionalFormatting>
  <conditionalFormatting sqref="Y147:AO151">
    <cfRule type="cellIs" dxfId="4734" priority="32" operator="equal">
      <formula>0</formula>
    </cfRule>
  </conditionalFormatting>
  <conditionalFormatting sqref="Y187:AO191">
    <cfRule type="cellIs" dxfId="4733" priority="31" operator="equal">
      <formula>0</formula>
    </cfRule>
  </conditionalFormatting>
  <conditionalFormatting sqref="Y192:AO196">
    <cfRule type="cellIs" dxfId="4732" priority="30" operator="equal">
      <formula>0</formula>
    </cfRule>
  </conditionalFormatting>
  <conditionalFormatting sqref="Y197:AO201">
    <cfRule type="cellIs" dxfId="4731" priority="29" operator="equal">
      <formula>0</formula>
    </cfRule>
  </conditionalFormatting>
  <conditionalFormatting sqref="Y202:AO206">
    <cfRule type="cellIs" dxfId="4730" priority="28" operator="equal">
      <formula>0</formula>
    </cfRule>
  </conditionalFormatting>
  <conditionalFormatting sqref="Y207:AO211">
    <cfRule type="cellIs" dxfId="4729" priority="27" operator="equal">
      <formula>0</formula>
    </cfRule>
  </conditionalFormatting>
  <conditionalFormatting sqref="Y112:AO116">
    <cfRule type="cellIs" dxfId="4728" priority="26" operator="equal">
      <formula>0</formula>
    </cfRule>
  </conditionalFormatting>
  <conditionalFormatting sqref="Y107:AO111">
    <cfRule type="cellIs" dxfId="4727" priority="25" operator="equal">
      <formula>0</formula>
    </cfRule>
  </conditionalFormatting>
  <conditionalFormatting sqref="Y102:AO106">
    <cfRule type="cellIs" dxfId="4726" priority="24" operator="equal">
      <formula>0</formula>
    </cfRule>
  </conditionalFormatting>
  <conditionalFormatting sqref="Y97:AO101">
    <cfRule type="cellIs" dxfId="4725" priority="23" operator="equal">
      <formula>0</formula>
    </cfRule>
  </conditionalFormatting>
  <conditionalFormatting sqref="Y92:AO96">
    <cfRule type="cellIs" dxfId="4724" priority="22" operator="equal">
      <formula>0</formula>
    </cfRule>
  </conditionalFormatting>
  <conditionalFormatting sqref="Y87:AO91">
    <cfRule type="cellIs" dxfId="4723" priority="21" operator="equal">
      <formula>0</formula>
    </cfRule>
  </conditionalFormatting>
  <conditionalFormatting sqref="Y82:AO86">
    <cfRule type="cellIs" dxfId="4722" priority="20" operator="equal">
      <formula>0</formula>
    </cfRule>
  </conditionalFormatting>
  <conditionalFormatting sqref="Y77:AO81">
    <cfRule type="cellIs" dxfId="4721" priority="19" operator="equal">
      <formula>0</formula>
    </cfRule>
  </conditionalFormatting>
  <conditionalFormatting sqref="Y117:AO121">
    <cfRule type="cellIs" dxfId="4720" priority="18" operator="equal">
      <formula>0</formula>
    </cfRule>
  </conditionalFormatting>
  <conditionalFormatting sqref="Y122:AO126">
    <cfRule type="cellIs" dxfId="4719" priority="17" operator="equal">
      <formula>0</formula>
    </cfRule>
  </conditionalFormatting>
  <conditionalFormatting sqref="Y127:AO131">
    <cfRule type="cellIs" dxfId="4718" priority="16" operator="equal">
      <formula>0</formula>
    </cfRule>
  </conditionalFormatting>
  <conditionalFormatting sqref="Y132:AO136">
    <cfRule type="cellIs" dxfId="4717" priority="15" operator="equal">
      <formula>0</formula>
    </cfRule>
  </conditionalFormatting>
  <conditionalFormatting sqref="Y137:AO141">
    <cfRule type="cellIs" dxfId="4716" priority="14" operator="equal">
      <formula>0</formula>
    </cfRule>
  </conditionalFormatting>
  <conditionalFormatting sqref="Y42:AO46">
    <cfRule type="cellIs" dxfId="4715" priority="13" operator="equal">
      <formula>0</formula>
    </cfRule>
  </conditionalFormatting>
  <conditionalFormatting sqref="Y37:AO41">
    <cfRule type="cellIs" dxfId="4714" priority="12" operator="equal">
      <formula>0</formula>
    </cfRule>
  </conditionalFormatting>
  <conditionalFormatting sqref="Y32:AO36">
    <cfRule type="cellIs" dxfId="4713" priority="11" operator="equal">
      <formula>0</formula>
    </cfRule>
  </conditionalFormatting>
  <conditionalFormatting sqref="Y27:AO31">
    <cfRule type="cellIs" dxfId="4712" priority="10" operator="equal">
      <formula>0</formula>
    </cfRule>
  </conditionalFormatting>
  <conditionalFormatting sqref="Y22:AO26">
    <cfRule type="cellIs" dxfId="4711" priority="9" operator="equal">
      <formula>0</formula>
    </cfRule>
  </conditionalFormatting>
  <conditionalFormatting sqref="Y17:AO21">
    <cfRule type="cellIs" dxfId="4710" priority="8" operator="equal">
      <formula>0</formula>
    </cfRule>
  </conditionalFormatting>
  <conditionalFormatting sqref="Y12:AO16">
    <cfRule type="cellIs" dxfId="4709" priority="7" operator="equal">
      <formula>0</formula>
    </cfRule>
  </conditionalFormatting>
  <conditionalFormatting sqref="Y7:AO11">
    <cfRule type="cellIs" dxfId="4708" priority="6" operator="equal">
      <formula>0</formula>
    </cfRule>
  </conditionalFormatting>
  <conditionalFormatting sqref="Y47:AO51">
    <cfRule type="cellIs" dxfId="4707" priority="5" operator="equal">
      <formula>0</formula>
    </cfRule>
  </conditionalFormatting>
  <conditionalFormatting sqref="Y52:AO56">
    <cfRule type="cellIs" dxfId="4706" priority="4" operator="equal">
      <formula>0</formula>
    </cfRule>
  </conditionalFormatting>
  <conditionalFormatting sqref="Y57:AO61">
    <cfRule type="cellIs" dxfId="4705" priority="3" operator="equal">
      <formula>0</formula>
    </cfRule>
  </conditionalFormatting>
  <conditionalFormatting sqref="Y62:AO66">
    <cfRule type="cellIs" dxfId="4704" priority="2" operator="equal">
      <formula>0</formula>
    </cfRule>
  </conditionalFormatting>
  <conditionalFormatting sqref="Y67:AO71">
    <cfRule type="cellIs" dxfId="4703"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defaultColWidth="8.85546875" defaultRowHeight="15" x14ac:dyDescent="0.25"/>
  <cols>
    <col min="2" max="2" width="35" bestFit="1" customWidth="1"/>
    <col min="3" max="18" width="8.85546875" style="3"/>
    <col min="19" max="19" width="12.85546875" style="3" customWidth="1"/>
    <col min="20" max="20" width="8.85546875" style="3"/>
    <col min="21" max="21" width="35" style="3" bestFit="1" customWidth="1"/>
    <col min="22" max="22" width="11.42578125" style="3" bestFit="1" customWidth="1"/>
    <col min="23" max="28" width="10.140625" style="3" bestFit="1" customWidth="1"/>
    <col min="29" max="38" width="8.85546875" style="3"/>
  </cols>
  <sheetData>
    <row r="1" spans="1:40" ht="65.25" customHeight="1" x14ac:dyDescent="0.25">
      <c r="A1" s="485" t="s">
        <v>1111</v>
      </c>
      <c r="B1" s="485"/>
      <c r="C1" s="485"/>
      <c r="D1" s="485"/>
      <c r="E1" s="485"/>
      <c r="F1" s="485"/>
      <c r="G1" s="485"/>
      <c r="H1" s="485"/>
      <c r="I1" s="485"/>
      <c r="J1" s="485"/>
      <c r="K1" s="485"/>
      <c r="L1" s="485"/>
      <c r="M1" s="485"/>
      <c r="N1" s="485"/>
      <c r="O1" s="485"/>
      <c r="P1" s="485"/>
      <c r="Q1" s="485"/>
      <c r="R1" s="485"/>
      <c r="S1" s="485"/>
      <c r="T1" s="485"/>
      <c r="U1" s="485"/>
      <c r="V1" s="485"/>
      <c r="W1" s="485"/>
      <c r="X1" s="485"/>
      <c r="Y1" s="485"/>
      <c r="Z1" s="485"/>
      <c r="AA1" s="485"/>
      <c r="AB1" s="486"/>
      <c r="AC1" s="486"/>
      <c r="AD1" s="486"/>
      <c r="AE1" s="486"/>
      <c r="AF1" s="486"/>
      <c r="AG1" s="486"/>
      <c r="AH1" s="486"/>
      <c r="AI1" s="486"/>
      <c r="AJ1" s="486"/>
      <c r="AK1" s="486"/>
      <c r="AL1" s="486"/>
      <c r="AM1" s="486"/>
      <c r="AN1" s="256"/>
    </row>
    <row r="2" spans="1:40" ht="42.75" customHeight="1" x14ac:dyDescent="0.25">
      <c r="A2" s="490"/>
      <c r="B2" s="490"/>
      <c r="C2" s="490"/>
      <c r="D2" s="490"/>
      <c r="E2" s="490"/>
      <c r="F2" s="490"/>
      <c r="G2" s="490"/>
      <c r="H2" s="490"/>
      <c r="I2" s="490"/>
      <c r="J2" s="490"/>
      <c r="K2" s="490"/>
      <c r="L2" s="490"/>
      <c r="M2" s="490"/>
      <c r="N2" s="490"/>
      <c r="O2" s="490"/>
      <c r="P2" s="490"/>
      <c r="Q2" s="490"/>
      <c r="R2" s="490"/>
      <c r="S2" s="490"/>
      <c r="T2" s="490"/>
      <c r="U2" s="490"/>
      <c r="V2" s="490"/>
      <c r="W2" s="490"/>
      <c r="X2" s="490"/>
      <c r="Y2" s="490"/>
      <c r="Z2" s="490"/>
      <c r="AA2" s="490"/>
      <c r="AB2" s="490"/>
      <c r="AC2" s="490"/>
      <c r="AD2" s="490"/>
      <c r="AE2" s="490"/>
      <c r="AF2" s="490"/>
      <c r="AG2" s="490"/>
      <c r="AH2" s="490"/>
      <c r="AI2" s="490"/>
      <c r="AJ2" s="490"/>
      <c r="AK2" s="490"/>
      <c r="AL2" s="490"/>
      <c r="AM2" s="490"/>
      <c r="AN2" s="490"/>
    </row>
    <row r="3" spans="1:40" s="48" customFormat="1" ht="39.75" customHeight="1" x14ac:dyDescent="0.2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5">
      <c r="C4" s="506" t="s">
        <v>1341</v>
      </c>
      <c r="D4" s="507"/>
      <c r="E4" s="507"/>
      <c r="F4" s="507"/>
      <c r="G4" s="507"/>
      <c r="H4" s="507"/>
      <c r="I4" s="507"/>
      <c r="J4" s="507"/>
      <c r="K4" s="507"/>
      <c r="L4" s="507"/>
      <c r="M4" s="507"/>
      <c r="N4" s="507"/>
      <c r="O4" s="507"/>
      <c r="P4" s="507"/>
      <c r="Q4" s="507"/>
      <c r="R4" s="507"/>
      <c r="S4" s="511"/>
      <c r="T4" s="1"/>
      <c r="U4" s="1"/>
      <c r="V4" s="506" t="s">
        <v>1112</v>
      </c>
      <c r="W4" s="507"/>
      <c r="X4" s="507"/>
      <c r="Y4" s="507"/>
      <c r="Z4" s="507"/>
      <c r="AA4" s="507"/>
      <c r="AB4" s="507"/>
      <c r="AC4" s="507"/>
      <c r="AD4" s="507"/>
      <c r="AE4" s="507"/>
      <c r="AF4" s="507"/>
      <c r="AG4" s="507"/>
      <c r="AH4" s="507"/>
      <c r="AI4" s="507"/>
      <c r="AJ4" s="507"/>
      <c r="AK4" s="507"/>
    </row>
    <row r="5" spans="1:40" x14ac:dyDescent="0.25">
      <c r="B5" s="139"/>
      <c r="C5" s="38" t="s">
        <v>879</v>
      </c>
      <c r="D5" s="38" t="s">
        <v>880</v>
      </c>
      <c r="E5" s="38" t="s">
        <v>881</v>
      </c>
      <c r="F5" s="38" t="s">
        <v>882</v>
      </c>
      <c r="G5" s="38" t="s">
        <v>883</v>
      </c>
      <c r="H5" s="38" t="s">
        <v>884</v>
      </c>
      <c r="I5" s="38" t="s">
        <v>885</v>
      </c>
      <c r="J5" s="38" t="s">
        <v>886</v>
      </c>
      <c r="K5" s="38" t="s">
        <v>887</v>
      </c>
      <c r="L5" s="38" t="s">
        <v>888</v>
      </c>
      <c r="M5" s="38" t="s">
        <v>889</v>
      </c>
      <c r="N5" s="38" t="s">
        <v>890</v>
      </c>
      <c r="O5" s="38" t="s">
        <v>891</v>
      </c>
      <c r="P5" s="38" t="s">
        <v>892</v>
      </c>
      <c r="Q5" s="38" t="s">
        <v>893</v>
      </c>
      <c r="R5" s="38" t="s">
        <v>894</v>
      </c>
      <c r="S5" s="39" t="s">
        <v>896</v>
      </c>
      <c r="T5" s="91"/>
      <c r="U5" s="231"/>
      <c r="V5" s="38" t="s">
        <v>879</v>
      </c>
      <c r="W5" s="38" t="s">
        <v>880</v>
      </c>
      <c r="X5" s="38" t="s">
        <v>881</v>
      </c>
      <c r="Y5" s="38" t="s">
        <v>882</v>
      </c>
      <c r="Z5" s="38" t="s">
        <v>883</v>
      </c>
      <c r="AA5" s="38" t="s">
        <v>884</v>
      </c>
      <c r="AB5" s="38" t="s">
        <v>885</v>
      </c>
      <c r="AC5" s="38" t="s">
        <v>886</v>
      </c>
      <c r="AD5" s="38" t="s">
        <v>887</v>
      </c>
      <c r="AE5" s="38" t="s">
        <v>888</v>
      </c>
      <c r="AF5" s="38" t="s">
        <v>889</v>
      </c>
      <c r="AG5" s="38" t="s">
        <v>890</v>
      </c>
      <c r="AH5" s="38" t="s">
        <v>891</v>
      </c>
      <c r="AI5" s="38" t="s">
        <v>892</v>
      </c>
      <c r="AJ5" s="38" t="s">
        <v>893</v>
      </c>
      <c r="AK5" s="38" t="s">
        <v>894</v>
      </c>
    </row>
    <row r="6" spans="1:40" x14ac:dyDescent="0.2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2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2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2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2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2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2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2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2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2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2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2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25">
      <c r="B18" s="110" t="s">
        <v>1113</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896</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5">
      <c r="C21" s="506" t="s">
        <v>1114</v>
      </c>
      <c r="D21" s="507"/>
      <c r="E21" s="507"/>
      <c r="F21" s="507"/>
      <c r="G21" s="507"/>
      <c r="H21" s="507"/>
      <c r="I21" s="507"/>
      <c r="J21" s="507"/>
      <c r="K21" s="507"/>
      <c r="L21" s="507"/>
      <c r="M21" s="507"/>
      <c r="N21" s="507"/>
      <c r="O21" s="507"/>
      <c r="P21" s="507"/>
      <c r="Q21" s="507"/>
      <c r="R21" s="507"/>
      <c r="S21" s="511"/>
      <c r="T21" s="1"/>
      <c r="U21" s="1"/>
      <c r="V21" s="506" t="s">
        <v>1115</v>
      </c>
      <c r="W21" s="507"/>
      <c r="X21" s="507"/>
      <c r="Y21" s="507"/>
      <c r="Z21" s="507"/>
      <c r="AA21" s="507"/>
      <c r="AB21" s="507"/>
      <c r="AC21" s="507"/>
      <c r="AD21" s="507"/>
      <c r="AE21" s="507"/>
      <c r="AF21" s="507"/>
      <c r="AG21" s="507"/>
      <c r="AH21" s="507"/>
      <c r="AI21" s="507"/>
      <c r="AJ21" s="507"/>
      <c r="AK21" s="507"/>
    </row>
    <row r="22" spans="2:37" x14ac:dyDescent="0.25">
      <c r="B22" s="140"/>
      <c r="C22" s="38" t="s">
        <v>879</v>
      </c>
      <c r="D22" s="38" t="s">
        <v>880</v>
      </c>
      <c r="E22" s="38" t="s">
        <v>881</v>
      </c>
      <c r="F22" s="38" t="s">
        <v>882</v>
      </c>
      <c r="G22" s="38" t="s">
        <v>883</v>
      </c>
      <c r="H22" s="38" t="s">
        <v>884</v>
      </c>
      <c r="I22" s="38" t="s">
        <v>885</v>
      </c>
      <c r="J22" s="38" t="s">
        <v>886</v>
      </c>
      <c r="K22" s="38" t="s">
        <v>887</v>
      </c>
      <c r="L22" s="38" t="s">
        <v>888</v>
      </c>
      <c r="M22" s="38" t="s">
        <v>889</v>
      </c>
      <c r="N22" s="38" t="s">
        <v>890</v>
      </c>
      <c r="O22" s="38" t="s">
        <v>891</v>
      </c>
      <c r="P22" s="38" t="s">
        <v>892</v>
      </c>
      <c r="Q22" s="38" t="s">
        <v>893</v>
      </c>
      <c r="R22" s="38" t="s">
        <v>894</v>
      </c>
      <c r="S22" s="39" t="s">
        <v>896</v>
      </c>
      <c r="U22" s="232"/>
      <c r="V22" s="38" t="s">
        <v>879</v>
      </c>
      <c r="W22" s="38" t="s">
        <v>880</v>
      </c>
      <c r="X22" s="38" t="s">
        <v>881</v>
      </c>
      <c r="Y22" s="38" t="s">
        <v>882</v>
      </c>
      <c r="Z22" s="38" t="s">
        <v>883</v>
      </c>
      <c r="AA22" s="38" t="s">
        <v>884</v>
      </c>
      <c r="AB22" s="38" t="s">
        <v>885</v>
      </c>
      <c r="AC22" s="38" t="s">
        <v>886</v>
      </c>
      <c r="AD22" s="38" t="s">
        <v>887</v>
      </c>
      <c r="AE22" s="38" t="s">
        <v>888</v>
      </c>
      <c r="AF22" s="38" t="s">
        <v>889</v>
      </c>
      <c r="AG22" s="38" t="s">
        <v>890</v>
      </c>
      <c r="AH22" s="38" t="s">
        <v>891</v>
      </c>
      <c r="AI22" s="38" t="s">
        <v>892</v>
      </c>
      <c r="AJ22" s="38" t="s">
        <v>893</v>
      </c>
      <c r="AK22" s="38" t="s">
        <v>894</v>
      </c>
    </row>
    <row r="23" spans="2:37" x14ac:dyDescent="0.2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2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2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2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2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2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2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2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2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2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2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2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25">
      <c r="B35" s="110" t="s">
        <v>1113</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1113</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5">
      <c r="C38" s="508" t="s">
        <v>1116</v>
      </c>
      <c r="D38" s="509"/>
      <c r="E38" s="509"/>
      <c r="F38" s="509"/>
      <c r="G38" s="509"/>
      <c r="H38" s="509"/>
      <c r="I38" s="509"/>
      <c r="J38" s="509"/>
      <c r="K38" s="509"/>
      <c r="L38" s="509"/>
      <c r="M38" s="509"/>
      <c r="N38" s="509"/>
      <c r="O38" s="509"/>
      <c r="P38" s="509"/>
      <c r="Q38" s="509"/>
      <c r="R38" s="509"/>
      <c r="S38" s="510"/>
      <c r="T38" s="1"/>
      <c r="U38" s="1"/>
      <c r="V38" s="508" t="s">
        <v>1117</v>
      </c>
      <c r="W38" s="509"/>
      <c r="X38" s="509"/>
      <c r="Y38" s="509"/>
      <c r="Z38" s="509"/>
      <c r="AA38" s="509"/>
      <c r="AB38" s="509"/>
      <c r="AC38" s="509"/>
      <c r="AD38" s="509"/>
      <c r="AE38" s="509"/>
      <c r="AF38" s="509"/>
      <c r="AG38" s="509"/>
      <c r="AH38" s="509"/>
      <c r="AI38" s="509"/>
      <c r="AJ38" s="509"/>
      <c r="AK38" s="509"/>
    </row>
    <row r="39" spans="2:37" ht="18.75" customHeight="1" x14ac:dyDescent="0.25">
      <c r="B39" s="139"/>
      <c r="C39" s="38" t="s">
        <v>879</v>
      </c>
      <c r="D39" s="38" t="s">
        <v>880</v>
      </c>
      <c r="E39" s="38" t="s">
        <v>881</v>
      </c>
      <c r="F39" s="38" t="s">
        <v>882</v>
      </c>
      <c r="G39" s="38" t="s">
        <v>883</v>
      </c>
      <c r="H39" s="38" t="s">
        <v>884</v>
      </c>
      <c r="I39" s="38" t="s">
        <v>885</v>
      </c>
      <c r="J39" s="38" t="s">
        <v>886</v>
      </c>
      <c r="K39" s="38" t="s">
        <v>887</v>
      </c>
      <c r="L39" s="38" t="s">
        <v>888</v>
      </c>
      <c r="M39" s="38" t="s">
        <v>889</v>
      </c>
      <c r="N39" s="38" t="s">
        <v>890</v>
      </c>
      <c r="O39" s="38" t="s">
        <v>891</v>
      </c>
      <c r="P39" s="38" t="s">
        <v>892</v>
      </c>
      <c r="Q39" s="38" t="s">
        <v>893</v>
      </c>
      <c r="R39" s="38" t="s">
        <v>894</v>
      </c>
      <c r="S39" s="39" t="s">
        <v>896</v>
      </c>
      <c r="T39" s="91"/>
      <c r="U39" s="231"/>
      <c r="V39" s="38" t="s">
        <v>879</v>
      </c>
      <c r="W39" s="38" t="s">
        <v>880</v>
      </c>
      <c r="X39" s="38" t="s">
        <v>881</v>
      </c>
      <c r="Y39" s="38" t="s">
        <v>882</v>
      </c>
      <c r="Z39" s="38" t="s">
        <v>883</v>
      </c>
      <c r="AA39" s="38" t="s">
        <v>884</v>
      </c>
      <c r="AB39" s="38" t="s">
        <v>885</v>
      </c>
      <c r="AC39" s="38" t="s">
        <v>886</v>
      </c>
      <c r="AD39" s="38" t="s">
        <v>887</v>
      </c>
      <c r="AE39" s="38" t="s">
        <v>888</v>
      </c>
      <c r="AF39" s="38" t="s">
        <v>889</v>
      </c>
      <c r="AG39" s="38" t="s">
        <v>890</v>
      </c>
      <c r="AH39" s="38" t="s">
        <v>891</v>
      </c>
      <c r="AI39" s="38" t="s">
        <v>892</v>
      </c>
      <c r="AJ39" s="38" t="s">
        <v>893</v>
      </c>
      <c r="AK39" s="38" t="s">
        <v>894</v>
      </c>
    </row>
    <row r="40" spans="2:37" x14ac:dyDescent="0.2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2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2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2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2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2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2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2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2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1118</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2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2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2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25">
      <c r="B52" s="110" t="s">
        <v>1113</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1113</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5">
      <c r="C54" s="508" t="s">
        <v>1119</v>
      </c>
      <c r="D54" s="509"/>
      <c r="E54" s="509"/>
      <c r="F54" s="509"/>
      <c r="G54" s="509"/>
      <c r="H54" s="509"/>
      <c r="I54" s="509"/>
      <c r="J54" s="509"/>
      <c r="K54" s="509"/>
      <c r="L54" s="509"/>
      <c r="M54" s="509"/>
      <c r="N54" s="509"/>
      <c r="O54" s="509"/>
      <c r="P54" s="509"/>
      <c r="Q54" s="509"/>
      <c r="R54" s="509"/>
      <c r="S54" s="510"/>
      <c r="V54" s="508" t="s">
        <v>1120</v>
      </c>
      <c r="W54" s="509"/>
      <c r="X54" s="509"/>
      <c r="Y54" s="509"/>
      <c r="Z54" s="509"/>
      <c r="AA54" s="509"/>
      <c r="AB54" s="509"/>
      <c r="AC54" s="509"/>
      <c r="AD54" s="509"/>
      <c r="AE54" s="509"/>
      <c r="AF54" s="509"/>
      <c r="AG54" s="509"/>
      <c r="AH54" s="509"/>
      <c r="AI54" s="509"/>
      <c r="AJ54" s="509"/>
      <c r="AK54" s="509"/>
    </row>
    <row r="55" spans="2:37" ht="15.75" customHeight="1" x14ac:dyDescent="0.25">
      <c r="B55" s="139"/>
      <c r="C55" s="38" t="s">
        <v>879</v>
      </c>
      <c r="D55" s="38" t="s">
        <v>880</v>
      </c>
      <c r="E55" s="38" t="s">
        <v>881</v>
      </c>
      <c r="F55" s="38" t="s">
        <v>882</v>
      </c>
      <c r="G55" s="38" t="s">
        <v>883</v>
      </c>
      <c r="H55" s="38" t="s">
        <v>884</v>
      </c>
      <c r="I55" s="38" t="s">
        <v>885</v>
      </c>
      <c r="J55" s="38" t="s">
        <v>886</v>
      </c>
      <c r="K55" s="38" t="s">
        <v>887</v>
      </c>
      <c r="L55" s="38" t="s">
        <v>888</v>
      </c>
      <c r="M55" s="38" t="s">
        <v>889</v>
      </c>
      <c r="N55" s="38" t="s">
        <v>890</v>
      </c>
      <c r="O55" s="38" t="s">
        <v>891</v>
      </c>
      <c r="P55" s="38" t="s">
        <v>892</v>
      </c>
      <c r="Q55" s="38" t="s">
        <v>893</v>
      </c>
      <c r="R55" s="38" t="s">
        <v>894</v>
      </c>
      <c r="S55" s="39" t="s">
        <v>896</v>
      </c>
      <c r="T55" s="91"/>
      <c r="U55" s="231"/>
      <c r="V55" s="38" t="s">
        <v>879</v>
      </c>
      <c r="W55" s="38" t="s">
        <v>880</v>
      </c>
      <c r="X55" s="38" t="s">
        <v>881</v>
      </c>
      <c r="Y55" s="38" t="s">
        <v>882</v>
      </c>
      <c r="Z55" s="38" t="s">
        <v>883</v>
      </c>
      <c r="AA55" s="38" t="s">
        <v>884</v>
      </c>
      <c r="AB55" s="38" t="s">
        <v>885</v>
      </c>
      <c r="AC55" s="38" t="s">
        <v>886</v>
      </c>
      <c r="AD55" s="38" t="s">
        <v>887</v>
      </c>
      <c r="AE55" s="38" t="s">
        <v>888</v>
      </c>
      <c r="AF55" s="38" t="s">
        <v>889</v>
      </c>
      <c r="AG55" s="38" t="s">
        <v>890</v>
      </c>
      <c r="AH55" s="38" t="s">
        <v>891</v>
      </c>
      <c r="AI55" s="38" t="s">
        <v>892</v>
      </c>
      <c r="AJ55" s="38" t="s">
        <v>893</v>
      </c>
      <c r="AK55" s="38" t="s">
        <v>894</v>
      </c>
    </row>
    <row r="56" spans="2:37" x14ac:dyDescent="0.2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2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2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2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2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2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2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2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2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2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2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2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25">
      <c r="B68" s="110" t="s">
        <v>1113</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1113</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B5" sqref="B5"/>
    </sheetView>
  </sheetViews>
  <sheetFormatPr defaultColWidth="8.85546875" defaultRowHeight="15" x14ac:dyDescent="0.25"/>
  <cols>
    <col min="1" max="1" width="2.42578125" customWidth="1"/>
    <col min="2" max="2" width="36.140625" customWidth="1"/>
    <col min="20" max="20" width="33" customWidth="1"/>
  </cols>
  <sheetData>
    <row r="1" spans="1:41" ht="63" customHeight="1" x14ac:dyDescent="0.25">
      <c r="A1" s="485" t="s">
        <v>1121</v>
      </c>
      <c r="B1" s="485"/>
      <c r="C1" s="485"/>
      <c r="D1" s="485"/>
      <c r="E1" s="485"/>
      <c r="F1" s="485"/>
      <c r="G1" s="485"/>
      <c r="H1" s="485"/>
      <c r="I1" s="485"/>
      <c r="J1" s="485"/>
      <c r="K1" s="485"/>
      <c r="L1" s="485"/>
      <c r="M1" s="485"/>
      <c r="N1" s="485"/>
      <c r="O1" s="485"/>
      <c r="P1" s="485"/>
      <c r="Q1" s="485"/>
      <c r="R1" s="485"/>
      <c r="S1" s="485"/>
      <c r="T1" s="485"/>
      <c r="U1" s="485"/>
      <c r="V1" s="485"/>
      <c r="W1" s="485"/>
      <c r="X1" s="485"/>
      <c r="Y1" s="485"/>
      <c r="Z1" s="485"/>
      <c r="AA1" s="485"/>
      <c r="AB1" s="485"/>
      <c r="AC1" s="485"/>
      <c r="AD1" s="485"/>
      <c r="AE1" s="485"/>
      <c r="AF1" s="485"/>
      <c r="AG1" s="485"/>
      <c r="AH1" s="485"/>
      <c r="AI1" s="485"/>
      <c r="AJ1" s="485"/>
      <c r="AK1" s="485"/>
      <c r="AL1" s="485"/>
      <c r="AM1" s="485"/>
      <c r="AN1" s="485"/>
      <c r="AO1" s="485"/>
    </row>
    <row r="2" spans="1:41" ht="56.25" customHeight="1" x14ac:dyDescent="0.25">
      <c r="A2" s="527"/>
      <c r="B2" s="527"/>
      <c r="C2" s="527"/>
      <c r="D2" s="527"/>
      <c r="E2" s="527"/>
      <c r="F2" s="527"/>
      <c r="G2" s="527"/>
      <c r="H2" s="527"/>
      <c r="I2" s="527"/>
      <c r="J2" s="527"/>
      <c r="K2" s="527"/>
      <c r="L2" s="527"/>
      <c r="M2" s="527"/>
      <c r="N2" s="527"/>
      <c r="O2" s="527"/>
      <c r="P2" s="527"/>
      <c r="Q2" s="527"/>
      <c r="R2" s="527"/>
      <c r="S2" s="527"/>
      <c r="T2" s="527"/>
      <c r="U2" s="527"/>
      <c r="V2" s="527"/>
      <c r="W2" s="527"/>
      <c r="X2" s="527"/>
      <c r="Y2" s="527"/>
      <c r="Z2" s="527"/>
      <c r="AA2" s="527"/>
      <c r="AB2" s="527"/>
      <c r="AC2" s="527"/>
      <c r="AD2" s="527"/>
      <c r="AE2" s="527"/>
      <c r="AF2" s="527"/>
      <c r="AG2" s="527"/>
      <c r="AH2" s="527"/>
      <c r="AI2" s="527"/>
      <c r="AJ2" s="527"/>
      <c r="AK2" s="527"/>
      <c r="AL2" s="527"/>
      <c r="AM2" s="527"/>
      <c r="AN2" s="527"/>
      <c r="AO2" s="527"/>
    </row>
    <row r="3" spans="1:41"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6.25" x14ac:dyDescent="0.25">
      <c r="B4" s="143" t="s">
        <v>957</v>
      </c>
    </row>
    <row r="5" spans="1:41" ht="25.5" customHeight="1" x14ac:dyDescent="0.25">
      <c r="B5" s="242" t="s">
        <v>22</v>
      </c>
      <c r="P5" s="40"/>
      <c r="Q5" s="40"/>
    </row>
    <row r="6" spans="1:41" x14ac:dyDescent="0.25">
      <c r="B6" s="46"/>
    </row>
    <row r="8" spans="1:41" ht="28.5" customHeight="1" x14ac:dyDescent="0.25">
      <c r="B8" s="290" t="str">
        <f>HLOOKUP($B$5,Region_Table,2,0)</f>
        <v>Corporate Services - N54</v>
      </c>
      <c r="C8" s="520" t="s">
        <v>1122</v>
      </c>
      <c r="D8" s="521"/>
      <c r="E8" s="521"/>
      <c r="F8" s="521"/>
      <c r="G8" s="521"/>
      <c r="H8" s="521"/>
      <c r="I8" s="521"/>
      <c r="J8" s="521"/>
      <c r="K8" s="521"/>
      <c r="L8" s="521"/>
      <c r="M8" s="525"/>
      <c r="N8" s="525"/>
      <c r="O8" s="526"/>
      <c r="P8" s="515">
        <f>SUMIF('caseload data'!C:C,'divisional &amp; regional caseload'!B8,'caseload data'!V:V)</f>
        <v>0</v>
      </c>
      <c r="Q8" s="516"/>
      <c r="R8" s="517"/>
      <c r="S8" s="91"/>
      <c r="T8" s="290" t="str">
        <f>HLOOKUP($B$5,Region_Table,3,0)</f>
        <v>County Durham and Darlington</v>
      </c>
      <c r="U8" s="520" t="s">
        <v>1122</v>
      </c>
      <c r="V8" s="521"/>
      <c r="W8" s="521"/>
      <c r="X8" s="521"/>
      <c r="Y8" s="521"/>
      <c r="Z8" s="521"/>
      <c r="AA8" s="521"/>
      <c r="AB8" s="521"/>
      <c r="AC8" s="521"/>
      <c r="AD8" s="521"/>
      <c r="AE8" s="521"/>
      <c r="AF8" s="521"/>
      <c r="AG8" s="522"/>
      <c r="AH8" s="515">
        <f>SUMIF('caseload data'!C:C,'divisional &amp; regional caseload'!T8,'caseload data'!V:V)</f>
        <v>0</v>
      </c>
      <c r="AI8" s="518"/>
      <c r="AJ8" s="519"/>
    </row>
    <row r="9" spans="1:41" x14ac:dyDescent="0.25">
      <c r="B9" s="95" t="s">
        <v>1022</v>
      </c>
      <c r="C9" s="38" t="s">
        <v>879</v>
      </c>
      <c r="D9" s="38" t="s">
        <v>880</v>
      </c>
      <c r="E9" s="38" t="s">
        <v>881</v>
      </c>
      <c r="F9" s="38" t="s">
        <v>882</v>
      </c>
      <c r="G9" s="38" t="s">
        <v>883</v>
      </c>
      <c r="H9" s="38" t="s">
        <v>884</v>
      </c>
      <c r="I9" s="38" t="s">
        <v>885</v>
      </c>
      <c r="J9" s="38" t="s">
        <v>886</v>
      </c>
      <c r="K9" s="38" t="s">
        <v>887</v>
      </c>
      <c r="L9" s="38" t="s">
        <v>888</v>
      </c>
      <c r="M9" s="38" t="s">
        <v>889</v>
      </c>
      <c r="N9" s="38" t="s">
        <v>890</v>
      </c>
      <c r="O9" s="38" t="s">
        <v>891</v>
      </c>
      <c r="P9" s="38" t="s">
        <v>892</v>
      </c>
      <c r="Q9" s="38" t="s">
        <v>893</v>
      </c>
      <c r="R9" s="38" t="s">
        <v>894</v>
      </c>
      <c r="S9" s="91"/>
      <c r="T9" s="95" t="s">
        <v>1022</v>
      </c>
      <c r="U9" s="38" t="s">
        <v>879</v>
      </c>
      <c r="V9" s="38" t="s">
        <v>880</v>
      </c>
      <c r="W9" s="38" t="s">
        <v>881</v>
      </c>
      <c r="X9" s="38" t="s">
        <v>882</v>
      </c>
      <c r="Y9" s="38" t="s">
        <v>883</v>
      </c>
      <c r="Z9" s="38" t="s">
        <v>884</v>
      </c>
      <c r="AA9" s="38" t="s">
        <v>885</v>
      </c>
      <c r="AB9" s="38" t="s">
        <v>886</v>
      </c>
      <c r="AC9" s="38" t="s">
        <v>887</v>
      </c>
      <c r="AD9" s="38" t="s">
        <v>888</v>
      </c>
      <c r="AE9" s="38" t="s">
        <v>889</v>
      </c>
      <c r="AF9" s="38" t="s">
        <v>890</v>
      </c>
      <c r="AG9" s="38" t="s">
        <v>891</v>
      </c>
      <c r="AH9" s="38" t="s">
        <v>892</v>
      </c>
      <c r="AI9" s="38" t="s">
        <v>893</v>
      </c>
      <c r="AJ9" s="38" t="s">
        <v>894</v>
      </c>
    </row>
    <row r="10" spans="1:41" x14ac:dyDescent="0.25">
      <c r="B10" s="96" t="s">
        <v>1019</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1019</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25">
      <c r="B11" s="97" t="s">
        <v>1024</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1024</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25">
      <c r="B12" s="97" t="s">
        <v>1025</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1025</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25">
      <c r="B13" s="98" t="s">
        <v>1026</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1026</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2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25">
      <c r="B15" s="290" t="str">
        <f>HLOOKUP($B$5,Region_Table,4,0)</f>
        <v>Gateshead and South Tyneside</v>
      </c>
      <c r="C15" s="520" t="s">
        <v>1122</v>
      </c>
      <c r="D15" s="521"/>
      <c r="E15" s="521"/>
      <c r="F15" s="521"/>
      <c r="G15" s="521"/>
      <c r="H15" s="521"/>
      <c r="I15" s="521"/>
      <c r="J15" s="521"/>
      <c r="K15" s="521"/>
      <c r="L15" s="521"/>
      <c r="M15" s="525"/>
      <c r="N15" s="525"/>
      <c r="O15" s="526"/>
      <c r="P15" s="515">
        <f>SUMIF('caseload data'!$C:$C,'divisional &amp; regional caseload'!B15,'caseload data'!V:V)</f>
        <v>0</v>
      </c>
      <c r="Q15" s="516"/>
      <c r="R15" s="517"/>
      <c r="S15" s="91"/>
      <c r="T15" s="290" t="str">
        <f>HLOOKUP($B$5,Region_Table,5,0)</f>
        <v>Inactive Level 2(N54)</v>
      </c>
      <c r="U15" s="520" t="s">
        <v>1122</v>
      </c>
      <c r="V15" s="521"/>
      <c r="W15" s="521"/>
      <c r="X15" s="521"/>
      <c r="Y15" s="521"/>
      <c r="Z15" s="521"/>
      <c r="AA15" s="521"/>
      <c r="AB15" s="521"/>
      <c r="AC15" s="521"/>
      <c r="AD15" s="521"/>
      <c r="AE15" s="521"/>
      <c r="AF15" s="521"/>
      <c r="AG15" s="522"/>
      <c r="AH15" s="515">
        <f>SUMIF('caseload data'!$C:$C,'divisional &amp; regional caseload'!T15,'caseload data'!V:V)</f>
        <v>0</v>
      </c>
      <c r="AI15" s="516"/>
      <c r="AJ15" s="517"/>
    </row>
    <row r="16" spans="1:41" x14ac:dyDescent="0.25">
      <c r="B16" s="95" t="s">
        <v>1022</v>
      </c>
      <c r="C16" s="38" t="s">
        <v>879</v>
      </c>
      <c r="D16" s="38" t="s">
        <v>880</v>
      </c>
      <c r="E16" s="38" t="s">
        <v>881</v>
      </c>
      <c r="F16" s="38" t="s">
        <v>882</v>
      </c>
      <c r="G16" s="38" t="s">
        <v>883</v>
      </c>
      <c r="H16" s="38" t="s">
        <v>884</v>
      </c>
      <c r="I16" s="38" t="s">
        <v>885</v>
      </c>
      <c r="J16" s="38" t="s">
        <v>886</v>
      </c>
      <c r="K16" s="38" t="s">
        <v>887</v>
      </c>
      <c r="L16" s="38" t="s">
        <v>888</v>
      </c>
      <c r="M16" s="38" t="s">
        <v>889</v>
      </c>
      <c r="N16" s="38" t="s">
        <v>890</v>
      </c>
      <c r="O16" s="38" t="s">
        <v>891</v>
      </c>
      <c r="P16" s="38" t="s">
        <v>892</v>
      </c>
      <c r="Q16" s="38" t="s">
        <v>893</v>
      </c>
      <c r="R16" s="38" t="s">
        <v>894</v>
      </c>
      <c r="S16" s="91"/>
      <c r="T16" s="95" t="s">
        <v>1022</v>
      </c>
      <c r="U16" s="38" t="s">
        <v>879</v>
      </c>
      <c r="V16" s="38" t="s">
        <v>880</v>
      </c>
      <c r="W16" s="38" t="s">
        <v>881</v>
      </c>
      <c r="X16" s="38" t="s">
        <v>882</v>
      </c>
      <c r="Y16" s="38" t="s">
        <v>883</v>
      </c>
      <c r="Z16" s="38" t="s">
        <v>884</v>
      </c>
      <c r="AA16" s="38" t="s">
        <v>885</v>
      </c>
      <c r="AB16" s="38" t="s">
        <v>886</v>
      </c>
      <c r="AC16" s="38" t="s">
        <v>887</v>
      </c>
      <c r="AD16" s="38" t="s">
        <v>888</v>
      </c>
      <c r="AE16" s="38" t="s">
        <v>889</v>
      </c>
      <c r="AF16" s="38" t="s">
        <v>890</v>
      </c>
      <c r="AG16" s="38" t="s">
        <v>891</v>
      </c>
      <c r="AH16" s="38" t="s">
        <v>892</v>
      </c>
      <c r="AI16" s="38" t="s">
        <v>893</v>
      </c>
      <c r="AJ16" s="38" t="s">
        <v>894</v>
      </c>
    </row>
    <row r="17" spans="2:36" x14ac:dyDescent="0.25">
      <c r="B17" s="96" t="s">
        <v>1019</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1019</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25">
      <c r="B18" s="97" t="s">
        <v>1024</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1024</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25">
      <c r="B19" s="97" t="s">
        <v>1025</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1025</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25">
      <c r="B20" s="98" t="s">
        <v>1026</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1026</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2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25">
      <c r="B22" s="290" t="str">
        <f>HLOOKUP($B$5,Region_Table,6,0)</f>
        <v>Newcastle Upon Tyne - N54</v>
      </c>
      <c r="C22" s="520" t="s">
        <v>1122</v>
      </c>
      <c r="D22" s="521"/>
      <c r="E22" s="521"/>
      <c r="F22" s="521"/>
      <c r="G22" s="521"/>
      <c r="H22" s="521"/>
      <c r="I22" s="521"/>
      <c r="J22" s="521"/>
      <c r="K22" s="521"/>
      <c r="L22" s="521"/>
      <c r="M22" s="525"/>
      <c r="N22" s="525"/>
      <c r="O22" s="526"/>
      <c r="P22" s="515">
        <f>SUMIF('caseload data'!$C:$C,'divisional &amp; regional caseload'!B22,'caseload data'!V:V)</f>
        <v>0</v>
      </c>
      <c r="Q22" s="516"/>
      <c r="R22" s="517"/>
      <c r="S22" s="91"/>
      <c r="T22" s="290" t="str">
        <f>HLOOKUP($B$5,Region_Table,7,0)</f>
        <v>North Tyneside and Northumberland</v>
      </c>
      <c r="U22" s="520" t="s">
        <v>1122</v>
      </c>
      <c r="V22" s="521"/>
      <c r="W22" s="521"/>
      <c r="X22" s="521"/>
      <c r="Y22" s="521"/>
      <c r="Z22" s="521"/>
      <c r="AA22" s="521"/>
      <c r="AB22" s="521"/>
      <c r="AC22" s="521"/>
      <c r="AD22" s="521"/>
      <c r="AE22" s="521"/>
      <c r="AF22" s="521"/>
      <c r="AG22" s="522"/>
      <c r="AH22" s="515">
        <f>SUMIF('caseload data'!$C:$C,'divisional &amp; regional caseload'!T22,'caseload data'!V:V)</f>
        <v>0</v>
      </c>
      <c r="AI22" s="516"/>
      <c r="AJ22" s="517"/>
    </row>
    <row r="23" spans="2:36" x14ac:dyDescent="0.25">
      <c r="B23" s="95" t="s">
        <v>1022</v>
      </c>
      <c r="C23" s="38" t="s">
        <v>879</v>
      </c>
      <c r="D23" s="38" t="s">
        <v>880</v>
      </c>
      <c r="E23" s="38" t="s">
        <v>881</v>
      </c>
      <c r="F23" s="38" t="s">
        <v>882</v>
      </c>
      <c r="G23" s="38" t="s">
        <v>883</v>
      </c>
      <c r="H23" s="38" t="s">
        <v>884</v>
      </c>
      <c r="I23" s="38" t="s">
        <v>885</v>
      </c>
      <c r="J23" s="38" t="s">
        <v>886</v>
      </c>
      <c r="K23" s="38" t="s">
        <v>887</v>
      </c>
      <c r="L23" s="38" t="s">
        <v>888</v>
      </c>
      <c r="M23" s="38" t="s">
        <v>889</v>
      </c>
      <c r="N23" s="38" t="s">
        <v>890</v>
      </c>
      <c r="O23" s="38" t="s">
        <v>891</v>
      </c>
      <c r="P23" s="38" t="s">
        <v>892</v>
      </c>
      <c r="Q23" s="38" t="s">
        <v>893</v>
      </c>
      <c r="R23" s="38" t="s">
        <v>894</v>
      </c>
      <c r="S23" s="91"/>
      <c r="T23" s="95" t="s">
        <v>1022</v>
      </c>
      <c r="U23" s="38" t="s">
        <v>879</v>
      </c>
      <c r="V23" s="38" t="s">
        <v>880</v>
      </c>
      <c r="W23" s="38" t="s">
        <v>881</v>
      </c>
      <c r="X23" s="38" t="s">
        <v>882</v>
      </c>
      <c r="Y23" s="38" t="s">
        <v>883</v>
      </c>
      <c r="Z23" s="38" t="s">
        <v>884</v>
      </c>
      <c r="AA23" s="38" t="s">
        <v>885</v>
      </c>
      <c r="AB23" s="38" t="s">
        <v>886</v>
      </c>
      <c r="AC23" s="38" t="s">
        <v>887</v>
      </c>
      <c r="AD23" s="38" t="s">
        <v>888</v>
      </c>
      <c r="AE23" s="38" t="s">
        <v>889</v>
      </c>
      <c r="AF23" s="38" t="s">
        <v>890</v>
      </c>
      <c r="AG23" s="38" t="s">
        <v>891</v>
      </c>
      <c r="AH23" s="38" t="s">
        <v>892</v>
      </c>
      <c r="AI23" s="38" t="s">
        <v>893</v>
      </c>
      <c r="AJ23" s="38" t="s">
        <v>894</v>
      </c>
    </row>
    <row r="24" spans="2:36" x14ac:dyDescent="0.25">
      <c r="B24" s="96" t="s">
        <v>1019</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1019</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25">
      <c r="B25" s="97" t="s">
        <v>1024</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1024</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25">
      <c r="B26" s="97" t="s">
        <v>1025</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1025</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25">
      <c r="B27" s="98" t="s">
        <v>1026</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1026</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2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25">
      <c r="B29" s="290" t="str">
        <f>HLOOKUP($B$5,Region_Table,8,0)</f>
        <v>Redcar, Cleveland and Middlesbrough</v>
      </c>
      <c r="C29" s="520" t="s">
        <v>1122</v>
      </c>
      <c r="D29" s="521"/>
      <c r="E29" s="521"/>
      <c r="F29" s="521"/>
      <c r="G29" s="521"/>
      <c r="H29" s="521"/>
      <c r="I29" s="521"/>
      <c r="J29" s="521"/>
      <c r="K29" s="521"/>
      <c r="L29" s="521"/>
      <c r="M29" s="525"/>
      <c r="N29" s="525"/>
      <c r="O29" s="526"/>
      <c r="P29" s="515">
        <f>SUMIF('caseload data'!$C:$C,'divisional &amp; regional caseload'!B29,'caseload data'!V:V)</f>
        <v>0</v>
      </c>
      <c r="Q29" s="516"/>
      <c r="R29" s="517"/>
      <c r="S29" s="91"/>
      <c r="T29" s="290" t="str">
        <f>HLOOKUP($B$5,Region_Table,9,0)</f>
        <v>Stockton and Hartlepool</v>
      </c>
      <c r="U29" s="520" t="s">
        <v>1122</v>
      </c>
      <c r="V29" s="521"/>
      <c r="W29" s="521"/>
      <c r="X29" s="521"/>
      <c r="Y29" s="521"/>
      <c r="Z29" s="521"/>
      <c r="AA29" s="521"/>
      <c r="AB29" s="521"/>
      <c r="AC29" s="521"/>
      <c r="AD29" s="521"/>
      <c r="AE29" s="521"/>
      <c r="AF29" s="521"/>
      <c r="AG29" s="522"/>
      <c r="AH29" s="515">
        <f>SUMIF('caseload data'!$C:$C,'divisional &amp; regional caseload'!T29,'caseload data'!V:V)</f>
        <v>0</v>
      </c>
      <c r="AI29" s="516"/>
      <c r="AJ29" s="517"/>
    </row>
    <row r="30" spans="2:36" x14ac:dyDescent="0.25">
      <c r="B30" s="95" t="s">
        <v>1022</v>
      </c>
      <c r="C30" s="38" t="s">
        <v>879</v>
      </c>
      <c r="D30" s="38" t="s">
        <v>880</v>
      </c>
      <c r="E30" s="38" t="s">
        <v>881</v>
      </c>
      <c r="F30" s="38" t="s">
        <v>882</v>
      </c>
      <c r="G30" s="38" t="s">
        <v>883</v>
      </c>
      <c r="H30" s="38" t="s">
        <v>884</v>
      </c>
      <c r="I30" s="38" t="s">
        <v>885</v>
      </c>
      <c r="J30" s="38" t="s">
        <v>886</v>
      </c>
      <c r="K30" s="38" t="s">
        <v>887</v>
      </c>
      <c r="L30" s="38" t="s">
        <v>888</v>
      </c>
      <c r="M30" s="38" t="s">
        <v>889</v>
      </c>
      <c r="N30" s="38" t="s">
        <v>890</v>
      </c>
      <c r="O30" s="38" t="s">
        <v>891</v>
      </c>
      <c r="P30" s="38" t="s">
        <v>892</v>
      </c>
      <c r="Q30" s="38" t="s">
        <v>893</v>
      </c>
      <c r="R30" s="38" t="s">
        <v>894</v>
      </c>
      <c r="S30" s="91"/>
      <c r="T30" s="95" t="s">
        <v>1022</v>
      </c>
      <c r="U30" s="38" t="s">
        <v>879</v>
      </c>
      <c r="V30" s="38" t="s">
        <v>880</v>
      </c>
      <c r="W30" s="38" t="s">
        <v>881</v>
      </c>
      <c r="X30" s="38" t="s">
        <v>882</v>
      </c>
      <c r="Y30" s="38" t="s">
        <v>883</v>
      </c>
      <c r="Z30" s="38" t="s">
        <v>884</v>
      </c>
      <c r="AA30" s="38" t="s">
        <v>885</v>
      </c>
      <c r="AB30" s="38" t="s">
        <v>886</v>
      </c>
      <c r="AC30" s="38" t="s">
        <v>887</v>
      </c>
      <c r="AD30" s="38" t="s">
        <v>888</v>
      </c>
      <c r="AE30" s="38" t="s">
        <v>889</v>
      </c>
      <c r="AF30" s="38" t="s">
        <v>890</v>
      </c>
      <c r="AG30" s="38" t="s">
        <v>891</v>
      </c>
      <c r="AH30" s="38" t="s">
        <v>892</v>
      </c>
      <c r="AI30" s="38" t="s">
        <v>893</v>
      </c>
      <c r="AJ30" s="38" t="s">
        <v>894</v>
      </c>
    </row>
    <row r="31" spans="2:36" x14ac:dyDescent="0.25">
      <c r="B31" s="96" t="s">
        <v>1019</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1019</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25">
      <c r="B32" s="97" t="s">
        <v>1024</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1024</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25">
      <c r="B33" s="97" t="s">
        <v>1025</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1025</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25">
      <c r="B34" s="98" t="s">
        <v>1026</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1026</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2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25">
      <c r="B36" s="290" t="str">
        <f>HLOOKUP($B$5,Region_Table,10,0)</f>
        <v>Sunderland - N54</v>
      </c>
      <c r="C36" s="520" t="s">
        <v>1123</v>
      </c>
      <c r="D36" s="521"/>
      <c r="E36" s="521"/>
      <c r="F36" s="521"/>
      <c r="G36" s="521"/>
      <c r="H36" s="521"/>
      <c r="I36" s="521"/>
      <c r="J36" s="521"/>
      <c r="K36" s="521"/>
      <c r="L36" s="521"/>
      <c r="M36" s="525"/>
      <c r="N36" s="525"/>
      <c r="O36" s="526"/>
      <c r="P36" s="515">
        <f>SUMIF('caseload data'!$C:$C,'divisional &amp; regional caseload'!B36,'caseload data'!V:V)</f>
        <v>0</v>
      </c>
      <c r="Q36" s="516"/>
      <c r="R36" s="517"/>
      <c r="S36" s="91"/>
      <c r="T36" s="290" t="str">
        <f>HLOOKUP($B$5,Region_Table,11,0)</f>
        <v>Unallocated Level(N54)</v>
      </c>
      <c r="U36" s="520" t="s">
        <v>1122</v>
      </c>
      <c r="V36" s="521"/>
      <c r="W36" s="521"/>
      <c r="X36" s="521"/>
      <c r="Y36" s="521"/>
      <c r="Z36" s="521"/>
      <c r="AA36" s="521"/>
      <c r="AB36" s="521"/>
      <c r="AC36" s="521"/>
      <c r="AD36" s="521"/>
      <c r="AE36" s="521"/>
      <c r="AF36" s="521"/>
      <c r="AG36" s="522"/>
      <c r="AH36" s="515">
        <f>SUMIF('caseload data'!$C:$C,'divisional &amp; regional caseload'!T36,'caseload data'!V:V)</f>
        <v>0</v>
      </c>
      <c r="AI36" s="516"/>
      <c r="AJ36" s="517"/>
    </row>
    <row r="37" spans="2:36" x14ac:dyDescent="0.25">
      <c r="B37" s="95" t="s">
        <v>1022</v>
      </c>
      <c r="C37" s="38" t="s">
        <v>879</v>
      </c>
      <c r="D37" s="38" t="s">
        <v>880</v>
      </c>
      <c r="E37" s="38" t="s">
        <v>881</v>
      </c>
      <c r="F37" s="38" t="s">
        <v>882</v>
      </c>
      <c r="G37" s="38" t="s">
        <v>883</v>
      </c>
      <c r="H37" s="38" t="s">
        <v>884</v>
      </c>
      <c r="I37" s="38" t="s">
        <v>885</v>
      </c>
      <c r="J37" s="38" t="s">
        <v>886</v>
      </c>
      <c r="K37" s="38" t="s">
        <v>887</v>
      </c>
      <c r="L37" s="38" t="s">
        <v>888</v>
      </c>
      <c r="M37" s="38" t="s">
        <v>889</v>
      </c>
      <c r="N37" s="38" t="s">
        <v>890</v>
      </c>
      <c r="O37" s="38" t="s">
        <v>891</v>
      </c>
      <c r="P37" s="38" t="s">
        <v>892</v>
      </c>
      <c r="Q37" s="38" t="s">
        <v>893</v>
      </c>
      <c r="R37" s="38" t="s">
        <v>894</v>
      </c>
      <c r="S37" s="91"/>
      <c r="T37" s="95" t="s">
        <v>1022</v>
      </c>
      <c r="U37" s="38" t="s">
        <v>879</v>
      </c>
      <c r="V37" s="38" t="s">
        <v>880</v>
      </c>
      <c r="W37" s="38" t="s">
        <v>881</v>
      </c>
      <c r="X37" s="38" t="s">
        <v>882</v>
      </c>
      <c r="Y37" s="38" t="s">
        <v>883</v>
      </c>
      <c r="Z37" s="38" t="s">
        <v>884</v>
      </c>
      <c r="AA37" s="38" t="s">
        <v>885</v>
      </c>
      <c r="AB37" s="38" t="s">
        <v>886</v>
      </c>
      <c r="AC37" s="38" t="s">
        <v>887</v>
      </c>
      <c r="AD37" s="38" t="s">
        <v>888</v>
      </c>
      <c r="AE37" s="38" t="s">
        <v>889</v>
      </c>
      <c r="AF37" s="38" t="s">
        <v>890</v>
      </c>
      <c r="AG37" s="38" t="s">
        <v>891</v>
      </c>
      <c r="AH37" s="38" t="s">
        <v>892</v>
      </c>
      <c r="AI37" s="38" t="s">
        <v>893</v>
      </c>
      <c r="AJ37" s="38" t="s">
        <v>894</v>
      </c>
    </row>
    <row r="38" spans="2:36" x14ac:dyDescent="0.25">
      <c r="B38" s="96" t="s">
        <v>1019</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1019</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25">
      <c r="B39" s="97" t="s">
        <v>1024</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1024</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25">
      <c r="B40" s="97" t="s">
        <v>1025</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1025</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25">
      <c r="B41" s="98" t="s">
        <v>1026</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1026</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2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25">
      <c r="B43" s="290" t="str">
        <f>HLOOKUP($B$5,Region_Table,12,0)</f>
        <v>Unpaid Work and Attendance Centres - N54</v>
      </c>
      <c r="C43" s="520" t="s">
        <v>1124</v>
      </c>
      <c r="D43" s="521"/>
      <c r="E43" s="521"/>
      <c r="F43" s="521"/>
      <c r="G43" s="521"/>
      <c r="H43" s="521"/>
      <c r="I43" s="521"/>
      <c r="J43" s="521"/>
      <c r="K43" s="521"/>
      <c r="L43" s="521"/>
      <c r="M43" s="525"/>
      <c r="N43" s="525"/>
      <c r="O43" s="526"/>
      <c r="P43" s="515">
        <f>SUMIF('caseload data'!$C:$C,'divisional &amp; regional caseload'!B43,'caseload data'!V:V)</f>
        <v>0</v>
      </c>
      <c r="Q43" s="516"/>
      <c r="R43" s="517"/>
      <c r="S43" s="91"/>
      <c r="T43" s="290">
        <f>HLOOKUP($B$5,Region_Table,13,0)</f>
        <v>0</v>
      </c>
      <c r="U43" s="520" t="s">
        <v>1122</v>
      </c>
      <c r="V43" s="521"/>
      <c r="W43" s="521"/>
      <c r="X43" s="521"/>
      <c r="Y43" s="521"/>
      <c r="Z43" s="521"/>
      <c r="AA43" s="521"/>
      <c r="AB43" s="521"/>
      <c r="AC43" s="521"/>
      <c r="AD43" s="521"/>
      <c r="AE43" s="521"/>
      <c r="AF43" s="521"/>
      <c r="AG43" s="522"/>
      <c r="AH43" s="515">
        <f>SUMIF('caseload data'!$C:$C,'divisional &amp; regional caseload'!T43,'caseload data'!V:V)</f>
        <v>0</v>
      </c>
      <c r="AI43" s="516"/>
      <c r="AJ43" s="517"/>
    </row>
    <row r="44" spans="2:36" x14ac:dyDescent="0.25">
      <c r="B44" s="95" t="s">
        <v>1022</v>
      </c>
      <c r="C44" s="38" t="s">
        <v>879</v>
      </c>
      <c r="D44" s="38" t="s">
        <v>880</v>
      </c>
      <c r="E44" s="38" t="s">
        <v>881</v>
      </c>
      <c r="F44" s="38" t="s">
        <v>882</v>
      </c>
      <c r="G44" s="38" t="s">
        <v>883</v>
      </c>
      <c r="H44" s="38" t="s">
        <v>884</v>
      </c>
      <c r="I44" s="38" t="s">
        <v>885</v>
      </c>
      <c r="J44" s="38" t="s">
        <v>886</v>
      </c>
      <c r="K44" s="38" t="s">
        <v>887</v>
      </c>
      <c r="L44" s="38" t="s">
        <v>888</v>
      </c>
      <c r="M44" s="38" t="s">
        <v>889</v>
      </c>
      <c r="N44" s="38" t="s">
        <v>890</v>
      </c>
      <c r="O44" s="38" t="s">
        <v>891</v>
      </c>
      <c r="P44" s="38" t="s">
        <v>892</v>
      </c>
      <c r="Q44" s="38" t="s">
        <v>893</v>
      </c>
      <c r="R44" s="38" t="s">
        <v>894</v>
      </c>
      <c r="S44" s="91"/>
      <c r="T44" s="95" t="s">
        <v>1022</v>
      </c>
      <c r="U44" s="38" t="s">
        <v>879</v>
      </c>
      <c r="V44" s="38" t="s">
        <v>880</v>
      </c>
      <c r="W44" s="38" t="s">
        <v>881</v>
      </c>
      <c r="X44" s="38" t="s">
        <v>882</v>
      </c>
      <c r="Y44" s="38" t="s">
        <v>883</v>
      </c>
      <c r="Z44" s="38" t="s">
        <v>884</v>
      </c>
      <c r="AA44" s="38" t="s">
        <v>885</v>
      </c>
      <c r="AB44" s="38" t="s">
        <v>886</v>
      </c>
      <c r="AC44" s="38" t="s">
        <v>887</v>
      </c>
      <c r="AD44" s="38" t="s">
        <v>888</v>
      </c>
      <c r="AE44" s="38" t="s">
        <v>889</v>
      </c>
      <c r="AF44" s="38" t="s">
        <v>890</v>
      </c>
      <c r="AG44" s="38" t="s">
        <v>891</v>
      </c>
      <c r="AH44" s="38" t="s">
        <v>892</v>
      </c>
      <c r="AI44" s="38" t="s">
        <v>893</v>
      </c>
      <c r="AJ44" s="38" t="s">
        <v>894</v>
      </c>
    </row>
    <row r="45" spans="2:36" x14ac:dyDescent="0.25">
      <c r="B45" s="96" t="s">
        <v>1019</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1019</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25">
      <c r="B46" s="97" t="s">
        <v>1024</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1024</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25">
      <c r="B47" s="97" t="s">
        <v>1025</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1025</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25">
      <c r="B48" s="98" t="s">
        <v>1026</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1026</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2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25">
      <c r="B50" s="290">
        <f>HLOOKUP($B$5,Region_Table,14,0)</f>
        <v>0</v>
      </c>
      <c r="C50" s="520" t="s">
        <v>1122</v>
      </c>
      <c r="D50" s="521"/>
      <c r="E50" s="521"/>
      <c r="F50" s="521"/>
      <c r="G50" s="521"/>
      <c r="H50" s="521"/>
      <c r="I50" s="521"/>
      <c r="J50" s="521"/>
      <c r="K50" s="521"/>
      <c r="L50" s="521"/>
      <c r="M50" s="525"/>
      <c r="N50" s="525"/>
      <c r="O50" s="526"/>
      <c r="P50" s="515">
        <f>SUMIF('caseload data'!$C:$C,'divisional &amp; regional caseload'!B50,'caseload data'!V:V)</f>
        <v>0</v>
      </c>
      <c r="Q50" s="516"/>
      <c r="R50" s="517"/>
      <c r="S50" s="91"/>
      <c r="T50" s="290">
        <f>HLOOKUP($B$5,Region_Table,15,0)</f>
        <v>0</v>
      </c>
      <c r="U50" s="520" t="s">
        <v>1122</v>
      </c>
      <c r="V50" s="521"/>
      <c r="W50" s="521"/>
      <c r="X50" s="521"/>
      <c r="Y50" s="521"/>
      <c r="Z50" s="521"/>
      <c r="AA50" s="521"/>
      <c r="AB50" s="521"/>
      <c r="AC50" s="521"/>
      <c r="AD50" s="521"/>
      <c r="AE50" s="521"/>
      <c r="AF50" s="521"/>
      <c r="AG50" s="522"/>
      <c r="AH50" s="515">
        <f>SUMIF('caseload data'!$C:$C,'divisional &amp; regional caseload'!T50,'caseload data'!V:V)</f>
        <v>0</v>
      </c>
      <c r="AI50" s="516"/>
      <c r="AJ50" s="517"/>
    </row>
    <row r="51" spans="2:36" x14ac:dyDescent="0.25">
      <c r="B51" s="95" t="s">
        <v>1022</v>
      </c>
      <c r="C51" s="38" t="s">
        <v>879</v>
      </c>
      <c r="D51" s="38" t="s">
        <v>880</v>
      </c>
      <c r="E51" s="38" t="s">
        <v>881</v>
      </c>
      <c r="F51" s="38" t="s">
        <v>882</v>
      </c>
      <c r="G51" s="38" t="s">
        <v>883</v>
      </c>
      <c r="H51" s="38" t="s">
        <v>884</v>
      </c>
      <c r="I51" s="38" t="s">
        <v>885</v>
      </c>
      <c r="J51" s="38" t="s">
        <v>886</v>
      </c>
      <c r="K51" s="38" t="s">
        <v>887</v>
      </c>
      <c r="L51" s="38" t="s">
        <v>888</v>
      </c>
      <c r="M51" s="38" t="s">
        <v>889</v>
      </c>
      <c r="N51" s="38" t="s">
        <v>890</v>
      </c>
      <c r="O51" s="38" t="s">
        <v>891</v>
      </c>
      <c r="P51" s="38" t="s">
        <v>892</v>
      </c>
      <c r="Q51" s="38" t="s">
        <v>893</v>
      </c>
      <c r="R51" s="38" t="s">
        <v>894</v>
      </c>
      <c r="S51" s="91"/>
      <c r="T51" s="95" t="s">
        <v>1022</v>
      </c>
      <c r="U51" s="38" t="s">
        <v>879</v>
      </c>
      <c r="V51" s="38" t="s">
        <v>880</v>
      </c>
      <c r="W51" s="38" t="s">
        <v>881</v>
      </c>
      <c r="X51" s="38" t="s">
        <v>882</v>
      </c>
      <c r="Y51" s="38" t="s">
        <v>883</v>
      </c>
      <c r="Z51" s="38" t="s">
        <v>884</v>
      </c>
      <c r="AA51" s="38" t="s">
        <v>885</v>
      </c>
      <c r="AB51" s="38" t="s">
        <v>886</v>
      </c>
      <c r="AC51" s="38" t="s">
        <v>887</v>
      </c>
      <c r="AD51" s="38" t="s">
        <v>888</v>
      </c>
      <c r="AE51" s="38" t="s">
        <v>889</v>
      </c>
      <c r="AF51" s="38" t="s">
        <v>890</v>
      </c>
      <c r="AG51" s="38" t="s">
        <v>891</v>
      </c>
      <c r="AH51" s="38" t="s">
        <v>892</v>
      </c>
      <c r="AI51" s="38" t="s">
        <v>893</v>
      </c>
      <c r="AJ51" s="38" t="s">
        <v>894</v>
      </c>
    </row>
    <row r="52" spans="2:36" x14ac:dyDescent="0.25">
      <c r="B52" s="96" t="s">
        <v>1019</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1019</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25">
      <c r="B53" s="97" t="s">
        <v>1024</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1024</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25">
      <c r="B54" s="97" t="s">
        <v>1025</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1025</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25">
      <c r="B55" s="98" t="s">
        <v>1026</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1026</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2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25">
      <c r="B57" s="290">
        <f>HLOOKUP($B$5,Region_Table,16,0)</f>
        <v>0</v>
      </c>
      <c r="C57" s="520" t="s">
        <v>1122</v>
      </c>
      <c r="D57" s="521"/>
      <c r="E57" s="521"/>
      <c r="F57" s="521"/>
      <c r="G57" s="521"/>
      <c r="H57" s="521"/>
      <c r="I57" s="521"/>
      <c r="J57" s="521"/>
      <c r="K57" s="521"/>
      <c r="L57" s="521"/>
      <c r="M57" s="525"/>
      <c r="N57" s="525"/>
      <c r="O57" s="526"/>
      <c r="P57" s="515">
        <f>SUMIF('caseload data'!$C:$C,'divisional &amp; regional caseload'!B57,'caseload data'!V:V)</f>
        <v>0</v>
      </c>
      <c r="Q57" s="516"/>
      <c r="R57" s="517"/>
      <c r="S57" s="91"/>
      <c r="T57" s="290">
        <f>HLOOKUP($B$5,Region_Table,17,0)</f>
        <v>0</v>
      </c>
      <c r="U57" s="520" t="s">
        <v>1122</v>
      </c>
      <c r="V57" s="521"/>
      <c r="W57" s="521"/>
      <c r="X57" s="521"/>
      <c r="Y57" s="521"/>
      <c r="Z57" s="521"/>
      <c r="AA57" s="521"/>
      <c r="AB57" s="521"/>
      <c r="AC57" s="521"/>
      <c r="AD57" s="521"/>
      <c r="AE57" s="521"/>
      <c r="AF57" s="521"/>
      <c r="AG57" s="522"/>
      <c r="AH57" s="515">
        <f>SUMIF('caseload data'!$C:$C,'divisional &amp; regional caseload'!T57,'caseload data'!V:V)</f>
        <v>0</v>
      </c>
      <c r="AI57" s="516"/>
      <c r="AJ57" s="517"/>
    </row>
    <row r="58" spans="2:36" x14ac:dyDescent="0.25">
      <c r="B58" s="95" t="s">
        <v>1022</v>
      </c>
      <c r="C58" s="38" t="s">
        <v>879</v>
      </c>
      <c r="D58" s="38" t="s">
        <v>880</v>
      </c>
      <c r="E58" s="38" t="s">
        <v>881</v>
      </c>
      <c r="F58" s="38" t="s">
        <v>882</v>
      </c>
      <c r="G58" s="38" t="s">
        <v>883</v>
      </c>
      <c r="H58" s="38" t="s">
        <v>884</v>
      </c>
      <c r="I58" s="38" t="s">
        <v>885</v>
      </c>
      <c r="J58" s="38" t="s">
        <v>886</v>
      </c>
      <c r="K58" s="38" t="s">
        <v>887</v>
      </c>
      <c r="L58" s="38" t="s">
        <v>888</v>
      </c>
      <c r="M58" s="38" t="s">
        <v>889</v>
      </c>
      <c r="N58" s="38" t="s">
        <v>890</v>
      </c>
      <c r="O58" s="38" t="s">
        <v>891</v>
      </c>
      <c r="P58" s="38" t="s">
        <v>892</v>
      </c>
      <c r="Q58" s="38" t="s">
        <v>893</v>
      </c>
      <c r="R58" s="38" t="s">
        <v>894</v>
      </c>
      <c r="S58" s="91"/>
      <c r="T58" s="95" t="s">
        <v>1022</v>
      </c>
      <c r="U58" s="38" t="s">
        <v>879</v>
      </c>
      <c r="V58" s="38" t="s">
        <v>880</v>
      </c>
      <c r="W58" s="38" t="s">
        <v>881</v>
      </c>
      <c r="X58" s="38" t="s">
        <v>882</v>
      </c>
      <c r="Y58" s="38" t="s">
        <v>883</v>
      </c>
      <c r="Z58" s="38" t="s">
        <v>884</v>
      </c>
      <c r="AA58" s="38" t="s">
        <v>885</v>
      </c>
      <c r="AB58" s="38" t="s">
        <v>886</v>
      </c>
      <c r="AC58" s="38" t="s">
        <v>887</v>
      </c>
      <c r="AD58" s="38" t="s">
        <v>888</v>
      </c>
      <c r="AE58" s="38" t="s">
        <v>889</v>
      </c>
      <c r="AF58" s="38" t="s">
        <v>890</v>
      </c>
      <c r="AG58" s="38" t="s">
        <v>891</v>
      </c>
      <c r="AH58" s="38" t="s">
        <v>892</v>
      </c>
      <c r="AI58" s="38" t="s">
        <v>893</v>
      </c>
      <c r="AJ58" s="38" t="s">
        <v>894</v>
      </c>
    </row>
    <row r="59" spans="2:36" x14ac:dyDescent="0.25">
      <c r="B59" s="96" t="s">
        <v>1019</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1019</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25">
      <c r="B60" s="97" t="s">
        <v>1024</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1024</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25">
      <c r="B61" s="97" t="s">
        <v>1025</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1025</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25">
      <c r="B62" s="98" t="s">
        <v>1026</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1026</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25">
      <c r="B64" s="290">
        <f>HLOOKUP($B$5,Region_Table,18,0)</f>
        <v>0</v>
      </c>
      <c r="C64" s="512" t="s">
        <v>1122</v>
      </c>
      <c r="D64" s="513"/>
      <c r="E64" s="513"/>
      <c r="F64" s="513"/>
      <c r="G64" s="513"/>
      <c r="H64" s="513"/>
      <c r="I64" s="513"/>
      <c r="J64" s="513"/>
      <c r="K64" s="513"/>
      <c r="L64" s="513"/>
      <c r="M64" s="523"/>
      <c r="N64" s="523"/>
      <c r="O64" s="524"/>
      <c r="P64" s="515">
        <f>SUMIF('caseload data'!$C:$C,'divisional &amp; regional caseload'!B64,'caseload data'!V:V)</f>
        <v>0</v>
      </c>
      <c r="Q64" s="516"/>
      <c r="R64" s="517"/>
      <c r="S64" s="91"/>
      <c r="T64" s="290">
        <f>HLOOKUP($B$5,Region_Table,19,0)</f>
        <v>0</v>
      </c>
      <c r="U64" s="512" t="s">
        <v>1122</v>
      </c>
      <c r="V64" s="513"/>
      <c r="W64" s="513"/>
      <c r="X64" s="513"/>
      <c r="Y64" s="513"/>
      <c r="Z64" s="513"/>
      <c r="AA64" s="513"/>
      <c r="AB64" s="513"/>
      <c r="AC64" s="513"/>
      <c r="AD64" s="513"/>
      <c r="AE64" s="513"/>
      <c r="AF64" s="513"/>
      <c r="AG64" s="514"/>
      <c r="AH64" s="515">
        <f>SUMIF('caseload data'!$C:$C,'divisional &amp; regional caseload'!T64,'caseload data'!V:V)</f>
        <v>0</v>
      </c>
      <c r="AI64" s="516"/>
      <c r="AJ64" s="517"/>
    </row>
    <row r="65" spans="2:36" x14ac:dyDescent="0.25">
      <c r="B65" s="95" t="s">
        <v>1022</v>
      </c>
      <c r="C65" s="38" t="s">
        <v>879</v>
      </c>
      <c r="D65" s="38" t="s">
        <v>880</v>
      </c>
      <c r="E65" s="38" t="s">
        <v>881</v>
      </c>
      <c r="F65" s="38" t="s">
        <v>882</v>
      </c>
      <c r="G65" s="38" t="s">
        <v>883</v>
      </c>
      <c r="H65" s="38" t="s">
        <v>884</v>
      </c>
      <c r="I65" s="38" t="s">
        <v>885</v>
      </c>
      <c r="J65" s="38" t="s">
        <v>886</v>
      </c>
      <c r="K65" s="38" t="s">
        <v>887</v>
      </c>
      <c r="L65" s="38" t="s">
        <v>888</v>
      </c>
      <c r="M65" s="38" t="s">
        <v>889</v>
      </c>
      <c r="N65" s="38" t="s">
        <v>890</v>
      </c>
      <c r="O65" s="38" t="s">
        <v>891</v>
      </c>
      <c r="P65" s="38" t="s">
        <v>892</v>
      </c>
      <c r="Q65" s="38" t="s">
        <v>893</v>
      </c>
      <c r="R65" s="38" t="s">
        <v>894</v>
      </c>
      <c r="S65" s="91"/>
      <c r="T65" s="95" t="s">
        <v>1022</v>
      </c>
      <c r="U65" s="38" t="s">
        <v>879</v>
      </c>
      <c r="V65" s="38" t="s">
        <v>880</v>
      </c>
      <c r="W65" s="38" t="s">
        <v>881</v>
      </c>
      <c r="X65" s="38" t="s">
        <v>882</v>
      </c>
      <c r="Y65" s="38" t="s">
        <v>883</v>
      </c>
      <c r="Z65" s="38" t="s">
        <v>884</v>
      </c>
      <c r="AA65" s="38" t="s">
        <v>885</v>
      </c>
      <c r="AB65" s="38" t="s">
        <v>886</v>
      </c>
      <c r="AC65" s="38" t="s">
        <v>887</v>
      </c>
      <c r="AD65" s="38" t="s">
        <v>888</v>
      </c>
      <c r="AE65" s="38" t="s">
        <v>889</v>
      </c>
      <c r="AF65" s="38" t="s">
        <v>890</v>
      </c>
      <c r="AG65" s="38" t="s">
        <v>891</v>
      </c>
      <c r="AH65" s="38" t="s">
        <v>892</v>
      </c>
      <c r="AI65" s="38" t="s">
        <v>893</v>
      </c>
      <c r="AJ65" s="38" t="s">
        <v>894</v>
      </c>
    </row>
    <row r="66" spans="2:36" x14ac:dyDescent="0.25">
      <c r="B66" s="96" t="s">
        <v>1019</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1019</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25">
      <c r="B67" s="97" t="s">
        <v>1024</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1024</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25">
      <c r="B68" s="97" t="s">
        <v>1025</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1025</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25">
      <c r="B69" s="98" t="s">
        <v>1026</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1026</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25">
      <c r="B71" s="290">
        <f>HLOOKUP($B$5,Region_Table,20,0)</f>
        <v>0</v>
      </c>
      <c r="C71" s="512" t="s">
        <v>1122</v>
      </c>
      <c r="D71" s="513"/>
      <c r="E71" s="513"/>
      <c r="F71" s="513"/>
      <c r="G71" s="513"/>
      <c r="H71" s="513"/>
      <c r="I71" s="513"/>
      <c r="J71" s="513"/>
      <c r="K71" s="513"/>
      <c r="L71" s="513"/>
      <c r="M71" s="523"/>
      <c r="N71" s="523"/>
      <c r="O71" s="524"/>
      <c r="P71" s="515">
        <f>SUMIF('caseload data'!$C:$C,'divisional &amp; regional caseload'!B71,'caseload data'!V:V)</f>
        <v>0</v>
      </c>
      <c r="Q71" s="516"/>
      <c r="R71" s="517"/>
      <c r="T71" s="290">
        <f>HLOOKUP($B$5,Region_Table,21,0)</f>
        <v>0</v>
      </c>
      <c r="U71" s="512" t="s">
        <v>1122</v>
      </c>
      <c r="V71" s="513"/>
      <c r="W71" s="513"/>
      <c r="X71" s="513"/>
      <c r="Y71" s="513"/>
      <c r="Z71" s="513"/>
      <c r="AA71" s="513"/>
      <c r="AB71" s="513"/>
      <c r="AC71" s="513"/>
      <c r="AD71" s="513"/>
      <c r="AE71" s="513"/>
      <c r="AF71" s="513"/>
      <c r="AG71" s="514"/>
      <c r="AH71" s="515">
        <f>SUMIF('caseload data'!$C:$C,'divisional &amp; regional caseload'!T71,'caseload data'!V:V)</f>
        <v>0</v>
      </c>
      <c r="AI71" s="518"/>
      <c r="AJ71" s="519"/>
    </row>
    <row r="72" spans="2:36" x14ac:dyDescent="0.25">
      <c r="B72" s="95" t="s">
        <v>1022</v>
      </c>
      <c r="C72" s="38" t="s">
        <v>879</v>
      </c>
      <c r="D72" s="38" t="s">
        <v>880</v>
      </c>
      <c r="E72" s="38" t="s">
        <v>881</v>
      </c>
      <c r="F72" s="38" t="s">
        <v>882</v>
      </c>
      <c r="G72" s="38" t="s">
        <v>883</v>
      </c>
      <c r="H72" s="38" t="s">
        <v>884</v>
      </c>
      <c r="I72" s="38" t="s">
        <v>885</v>
      </c>
      <c r="J72" s="38" t="s">
        <v>886</v>
      </c>
      <c r="K72" s="38" t="s">
        <v>887</v>
      </c>
      <c r="L72" s="38" t="s">
        <v>888</v>
      </c>
      <c r="M72" s="38" t="s">
        <v>889</v>
      </c>
      <c r="N72" s="38" t="s">
        <v>890</v>
      </c>
      <c r="O72" s="38" t="s">
        <v>891</v>
      </c>
      <c r="P72" s="38" t="s">
        <v>892</v>
      </c>
      <c r="Q72" s="38" t="s">
        <v>893</v>
      </c>
      <c r="R72" s="38" t="s">
        <v>894</v>
      </c>
      <c r="T72" s="95" t="s">
        <v>1022</v>
      </c>
      <c r="U72" s="38" t="s">
        <v>879</v>
      </c>
      <c r="V72" s="38" t="s">
        <v>880</v>
      </c>
      <c r="W72" s="38" t="s">
        <v>881</v>
      </c>
      <c r="X72" s="38" t="s">
        <v>882</v>
      </c>
      <c r="Y72" s="38" t="s">
        <v>883</v>
      </c>
      <c r="Z72" s="38" t="s">
        <v>884</v>
      </c>
      <c r="AA72" s="38" t="s">
        <v>885</v>
      </c>
      <c r="AB72" s="38" t="s">
        <v>886</v>
      </c>
      <c r="AC72" s="38" t="s">
        <v>887</v>
      </c>
      <c r="AD72" s="38" t="s">
        <v>888</v>
      </c>
      <c r="AE72" s="38" t="s">
        <v>889</v>
      </c>
      <c r="AF72" s="38" t="s">
        <v>890</v>
      </c>
      <c r="AG72" s="38" t="s">
        <v>891</v>
      </c>
      <c r="AH72" s="38" t="s">
        <v>892</v>
      </c>
      <c r="AI72" s="38" t="s">
        <v>893</v>
      </c>
      <c r="AJ72" s="38" t="s">
        <v>894</v>
      </c>
    </row>
    <row r="73" spans="2:36" x14ac:dyDescent="0.25">
      <c r="B73" s="96" t="s">
        <v>1019</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1019</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25">
      <c r="B74" s="97" t="s">
        <v>1024</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1024</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25">
      <c r="B75" s="97" t="s">
        <v>1025</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1025</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25">
      <c r="B76" s="98" t="s">
        <v>1026</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1026</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25">
      <c r="B78" s="290">
        <f>HLOOKUP($B$5,Region_Table,22,0)</f>
        <v>0</v>
      </c>
      <c r="C78" s="512" t="s">
        <v>1122</v>
      </c>
      <c r="D78" s="513"/>
      <c r="E78" s="513"/>
      <c r="F78" s="513"/>
      <c r="G78" s="513"/>
      <c r="H78" s="513"/>
      <c r="I78" s="513"/>
      <c r="J78" s="513"/>
      <c r="K78" s="513"/>
      <c r="L78" s="513"/>
      <c r="M78" s="523"/>
      <c r="N78" s="523"/>
      <c r="O78" s="524"/>
      <c r="P78" s="515">
        <f>SUMIF('caseload data'!$C:$C,'divisional &amp; regional caseload'!B78,'caseload data'!V:V)</f>
        <v>0</v>
      </c>
      <c r="Q78" s="516"/>
      <c r="R78" s="517"/>
      <c r="T78" s="290">
        <f>HLOOKUP($B$5,Region_Table,23,0)</f>
        <v>0</v>
      </c>
      <c r="U78" s="512" t="s">
        <v>1122</v>
      </c>
      <c r="V78" s="513"/>
      <c r="W78" s="513"/>
      <c r="X78" s="513"/>
      <c r="Y78" s="513"/>
      <c r="Z78" s="513"/>
      <c r="AA78" s="513"/>
      <c r="AB78" s="513"/>
      <c r="AC78" s="513"/>
      <c r="AD78" s="513"/>
      <c r="AE78" s="513"/>
      <c r="AF78" s="513"/>
      <c r="AG78" s="514"/>
      <c r="AH78" s="515">
        <f>SUMIF('caseload data'!$C:$C,'divisional &amp; regional caseload'!T78,'caseload data'!V:V)</f>
        <v>0</v>
      </c>
      <c r="AI78" s="518"/>
      <c r="AJ78" s="519"/>
    </row>
    <row r="79" spans="2:36" x14ac:dyDescent="0.25">
      <c r="B79" s="95" t="s">
        <v>1022</v>
      </c>
      <c r="C79" s="38" t="s">
        <v>879</v>
      </c>
      <c r="D79" s="38" t="s">
        <v>880</v>
      </c>
      <c r="E79" s="38" t="s">
        <v>881</v>
      </c>
      <c r="F79" s="38" t="s">
        <v>882</v>
      </c>
      <c r="G79" s="38" t="s">
        <v>883</v>
      </c>
      <c r="H79" s="38" t="s">
        <v>884</v>
      </c>
      <c r="I79" s="38" t="s">
        <v>885</v>
      </c>
      <c r="J79" s="38" t="s">
        <v>886</v>
      </c>
      <c r="K79" s="38" t="s">
        <v>887</v>
      </c>
      <c r="L79" s="38" t="s">
        <v>888</v>
      </c>
      <c r="M79" s="38" t="s">
        <v>889</v>
      </c>
      <c r="N79" s="38" t="s">
        <v>890</v>
      </c>
      <c r="O79" s="38" t="s">
        <v>891</v>
      </c>
      <c r="P79" s="38" t="s">
        <v>892</v>
      </c>
      <c r="Q79" s="38" t="s">
        <v>893</v>
      </c>
      <c r="R79" s="38" t="s">
        <v>894</v>
      </c>
      <c r="T79" s="95" t="s">
        <v>1022</v>
      </c>
      <c r="U79" s="38" t="s">
        <v>879</v>
      </c>
      <c r="V79" s="38" t="s">
        <v>880</v>
      </c>
      <c r="W79" s="38" t="s">
        <v>881</v>
      </c>
      <c r="X79" s="38" t="s">
        <v>882</v>
      </c>
      <c r="Y79" s="38" t="s">
        <v>883</v>
      </c>
      <c r="Z79" s="38" t="s">
        <v>884</v>
      </c>
      <c r="AA79" s="38" t="s">
        <v>885</v>
      </c>
      <c r="AB79" s="38" t="s">
        <v>886</v>
      </c>
      <c r="AC79" s="38" t="s">
        <v>887</v>
      </c>
      <c r="AD79" s="38" t="s">
        <v>888</v>
      </c>
      <c r="AE79" s="38" t="s">
        <v>889</v>
      </c>
      <c r="AF79" s="38" t="s">
        <v>890</v>
      </c>
      <c r="AG79" s="38" t="s">
        <v>891</v>
      </c>
      <c r="AH79" s="38" t="s">
        <v>892</v>
      </c>
      <c r="AI79" s="38" t="s">
        <v>893</v>
      </c>
      <c r="AJ79" s="38" t="s">
        <v>894</v>
      </c>
    </row>
    <row r="80" spans="2:36" x14ac:dyDescent="0.25">
      <c r="B80" s="96" t="s">
        <v>1019</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1019</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25">
      <c r="B81" s="97" t="s">
        <v>1024</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1024</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25">
      <c r="B82" s="97" t="s">
        <v>1025</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1025</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25">
      <c r="B83" s="98" t="s">
        <v>1026</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1026</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25">
      <c r="B85" s="290">
        <f>HLOOKUP($B$5,Region_Table,24,0)</f>
        <v>0</v>
      </c>
      <c r="C85" s="512" t="s">
        <v>1122</v>
      </c>
      <c r="D85" s="513"/>
      <c r="E85" s="513"/>
      <c r="F85" s="513"/>
      <c r="G85" s="513"/>
      <c r="H85" s="513"/>
      <c r="I85" s="513"/>
      <c r="J85" s="513"/>
      <c r="K85" s="513"/>
      <c r="L85" s="513"/>
      <c r="M85" s="523"/>
      <c r="N85" s="523"/>
      <c r="O85" s="524"/>
      <c r="P85" s="515">
        <f>SUMIF('caseload data'!$C:$C,'divisional &amp; regional caseload'!B85,'caseload data'!V:V)</f>
        <v>0</v>
      </c>
      <c r="Q85" s="516"/>
      <c r="R85" s="517"/>
      <c r="T85" s="290">
        <f>HLOOKUP($B$5,Region_Table,25,0)</f>
        <v>0</v>
      </c>
      <c r="U85" s="512" t="s">
        <v>1122</v>
      </c>
      <c r="V85" s="513"/>
      <c r="W85" s="513"/>
      <c r="X85" s="513"/>
      <c r="Y85" s="513"/>
      <c r="Z85" s="513"/>
      <c r="AA85" s="513"/>
      <c r="AB85" s="513"/>
      <c r="AC85" s="513"/>
      <c r="AD85" s="513"/>
      <c r="AE85" s="513"/>
      <c r="AF85" s="513"/>
      <c r="AG85" s="514"/>
      <c r="AH85" s="515">
        <f>SUMIF('caseload data'!$C:$C,'divisional &amp; regional caseload'!T85,'caseload data'!V:V)</f>
        <v>0</v>
      </c>
      <c r="AI85" s="518"/>
      <c r="AJ85" s="519"/>
    </row>
    <row r="86" spans="2:36" x14ac:dyDescent="0.25">
      <c r="B86" s="95" t="s">
        <v>1022</v>
      </c>
      <c r="C86" s="38" t="s">
        <v>879</v>
      </c>
      <c r="D86" s="38" t="s">
        <v>880</v>
      </c>
      <c r="E86" s="38" t="s">
        <v>881</v>
      </c>
      <c r="F86" s="38" t="s">
        <v>882</v>
      </c>
      <c r="G86" s="38" t="s">
        <v>883</v>
      </c>
      <c r="H86" s="38" t="s">
        <v>884</v>
      </c>
      <c r="I86" s="38" t="s">
        <v>885</v>
      </c>
      <c r="J86" s="38" t="s">
        <v>886</v>
      </c>
      <c r="K86" s="38" t="s">
        <v>887</v>
      </c>
      <c r="L86" s="38" t="s">
        <v>888</v>
      </c>
      <c r="M86" s="38" t="s">
        <v>889</v>
      </c>
      <c r="N86" s="38" t="s">
        <v>890</v>
      </c>
      <c r="O86" s="38" t="s">
        <v>891</v>
      </c>
      <c r="P86" s="38" t="s">
        <v>892</v>
      </c>
      <c r="Q86" s="38" t="s">
        <v>893</v>
      </c>
      <c r="R86" s="38" t="s">
        <v>894</v>
      </c>
      <c r="T86" s="95" t="s">
        <v>1022</v>
      </c>
      <c r="U86" s="38" t="s">
        <v>879</v>
      </c>
      <c r="V86" s="38" t="s">
        <v>880</v>
      </c>
      <c r="W86" s="38" t="s">
        <v>881</v>
      </c>
      <c r="X86" s="38" t="s">
        <v>882</v>
      </c>
      <c r="Y86" s="38" t="s">
        <v>883</v>
      </c>
      <c r="Z86" s="38" t="s">
        <v>884</v>
      </c>
      <c r="AA86" s="38" t="s">
        <v>885</v>
      </c>
      <c r="AB86" s="38" t="s">
        <v>886</v>
      </c>
      <c r="AC86" s="38" t="s">
        <v>887</v>
      </c>
      <c r="AD86" s="38" t="s">
        <v>888</v>
      </c>
      <c r="AE86" s="38" t="s">
        <v>889</v>
      </c>
      <c r="AF86" s="38" t="s">
        <v>890</v>
      </c>
      <c r="AG86" s="38" t="s">
        <v>891</v>
      </c>
      <c r="AH86" s="38" t="s">
        <v>892</v>
      </c>
      <c r="AI86" s="38" t="s">
        <v>893</v>
      </c>
      <c r="AJ86" s="38" t="s">
        <v>894</v>
      </c>
    </row>
    <row r="87" spans="2:36" x14ac:dyDescent="0.25">
      <c r="B87" s="96" t="s">
        <v>1019</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1019</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25">
      <c r="B88" s="97" t="s">
        <v>1024</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1024</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25">
      <c r="B89" s="97" t="s">
        <v>1025</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1025</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25">
      <c r="B90" s="98" t="s">
        <v>1026</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1026</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25">
      <c r="B92" s="142">
        <f>HLOOKUP($B$5,Region_Table,26,0)</f>
        <v>0</v>
      </c>
      <c r="C92" s="512" t="s">
        <v>1122</v>
      </c>
      <c r="D92" s="513"/>
      <c r="E92" s="513"/>
      <c r="F92" s="513"/>
      <c r="G92" s="513"/>
      <c r="H92" s="513"/>
      <c r="I92" s="513"/>
      <c r="J92" s="513"/>
      <c r="K92" s="513"/>
      <c r="L92" s="513"/>
      <c r="M92" s="523"/>
      <c r="N92" s="523"/>
      <c r="O92" s="524"/>
      <c r="P92" s="515">
        <f>SUMIF('caseload data'!$C:$C,'divisional &amp; regional caseload'!B92,'caseload data'!V:V)</f>
        <v>0</v>
      </c>
      <c r="Q92" s="516"/>
      <c r="R92" s="517"/>
      <c r="T92" s="142">
        <f>HLOOKUP($B$5,Region_Table,27,0)</f>
        <v>0</v>
      </c>
      <c r="U92" s="512" t="s">
        <v>1122</v>
      </c>
      <c r="V92" s="513"/>
      <c r="W92" s="513"/>
      <c r="X92" s="513"/>
      <c r="Y92" s="513"/>
      <c r="Z92" s="513"/>
      <c r="AA92" s="513"/>
      <c r="AB92" s="513"/>
      <c r="AC92" s="513"/>
      <c r="AD92" s="513"/>
      <c r="AE92" s="513"/>
      <c r="AF92" s="513"/>
      <c r="AG92" s="514"/>
      <c r="AH92" s="515">
        <f>SUMIF('caseload data'!$C:$C,'divisional &amp; regional caseload'!T92,'caseload data'!V:V)</f>
        <v>0</v>
      </c>
      <c r="AI92" s="518"/>
      <c r="AJ92" s="519"/>
    </row>
    <row r="93" spans="2:36" x14ac:dyDescent="0.25">
      <c r="B93" s="95" t="s">
        <v>1022</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T93" s="95" t="s">
        <v>1022</v>
      </c>
      <c r="U93" s="38" t="s">
        <v>879</v>
      </c>
      <c r="V93" s="38" t="s">
        <v>880</v>
      </c>
      <c r="W93" s="38" t="s">
        <v>881</v>
      </c>
      <c r="X93" s="38" t="s">
        <v>882</v>
      </c>
      <c r="Y93" s="38" t="s">
        <v>883</v>
      </c>
      <c r="Z93" s="38" t="s">
        <v>884</v>
      </c>
      <c r="AA93" s="38" t="s">
        <v>885</v>
      </c>
      <c r="AB93" s="38" t="s">
        <v>886</v>
      </c>
      <c r="AC93" s="38" t="s">
        <v>887</v>
      </c>
      <c r="AD93" s="38" t="s">
        <v>888</v>
      </c>
      <c r="AE93" s="38" t="s">
        <v>889</v>
      </c>
      <c r="AF93" s="38" t="s">
        <v>890</v>
      </c>
      <c r="AG93" s="38" t="s">
        <v>891</v>
      </c>
      <c r="AH93" s="38" t="s">
        <v>892</v>
      </c>
      <c r="AI93" s="38" t="s">
        <v>893</v>
      </c>
      <c r="AJ93" s="38" t="s">
        <v>894</v>
      </c>
    </row>
    <row r="94" spans="2:36" x14ac:dyDescent="0.25">
      <c r="B94" s="96" t="s">
        <v>1019</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1019</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25">
      <c r="B95" s="97" t="s">
        <v>1024</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1024</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25">
      <c r="B96" s="97" t="s">
        <v>1025</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1025</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25">
      <c r="B97" s="98" t="s">
        <v>1026</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1026</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25">
      <c r="B99" s="142">
        <f>HLOOKUP($B$5,Region_Table,28,0)</f>
        <v>0</v>
      </c>
      <c r="C99" s="512" t="s">
        <v>1122</v>
      </c>
      <c r="D99" s="513"/>
      <c r="E99" s="513"/>
      <c r="F99" s="513"/>
      <c r="G99" s="513"/>
      <c r="H99" s="513"/>
      <c r="I99" s="513"/>
      <c r="J99" s="513"/>
      <c r="K99" s="513"/>
      <c r="L99" s="513"/>
      <c r="M99" s="523"/>
      <c r="N99" s="523"/>
      <c r="O99" s="524"/>
      <c r="P99" s="515">
        <f>SUMIF('caseload data'!$C:$C,'divisional &amp; regional caseload'!B99,'caseload data'!V:V)</f>
        <v>0</v>
      </c>
      <c r="Q99" s="516"/>
      <c r="R99" s="517"/>
      <c r="T99" s="142">
        <f>HLOOKUP($B$5,Region_Table,29,0)</f>
        <v>0</v>
      </c>
      <c r="U99" s="512" t="s">
        <v>1122</v>
      </c>
      <c r="V99" s="513"/>
      <c r="W99" s="513"/>
      <c r="X99" s="513"/>
      <c r="Y99" s="513"/>
      <c r="Z99" s="513"/>
      <c r="AA99" s="513"/>
      <c r="AB99" s="513"/>
      <c r="AC99" s="513"/>
      <c r="AD99" s="513"/>
      <c r="AE99" s="513"/>
      <c r="AF99" s="513"/>
      <c r="AG99" s="514"/>
      <c r="AH99" s="515">
        <f>SUMIF('caseload data'!$C:$C,'divisional &amp; regional caseload'!T99,'caseload data'!V:V)</f>
        <v>0</v>
      </c>
      <c r="AI99" s="518"/>
      <c r="AJ99" s="519"/>
    </row>
    <row r="100" spans="2:36" x14ac:dyDescent="0.25">
      <c r="B100" s="95" t="s">
        <v>1022</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c r="T100" s="95" t="s">
        <v>1022</v>
      </c>
      <c r="U100" s="38" t="s">
        <v>879</v>
      </c>
      <c r="V100" s="38" t="s">
        <v>880</v>
      </c>
      <c r="W100" s="38" t="s">
        <v>881</v>
      </c>
      <c r="X100" s="38" t="s">
        <v>882</v>
      </c>
      <c r="Y100" s="38" t="s">
        <v>883</v>
      </c>
      <c r="Z100" s="38" t="s">
        <v>884</v>
      </c>
      <c r="AA100" s="38" t="s">
        <v>885</v>
      </c>
      <c r="AB100" s="38" t="s">
        <v>886</v>
      </c>
      <c r="AC100" s="38" t="s">
        <v>887</v>
      </c>
      <c r="AD100" s="38" t="s">
        <v>888</v>
      </c>
      <c r="AE100" s="38" t="s">
        <v>889</v>
      </c>
      <c r="AF100" s="38" t="s">
        <v>890</v>
      </c>
      <c r="AG100" s="38" t="s">
        <v>891</v>
      </c>
      <c r="AH100" s="38" t="s">
        <v>892</v>
      </c>
      <c r="AI100" s="38" t="s">
        <v>893</v>
      </c>
      <c r="AJ100" s="38" t="s">
        <v>894</v>
      </c>
    </row>
    <row r="101" spans="2:36" x14ac:dyDescent="0.25">
      <c r="B101" s="96" t="s">
        <v>1019</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1019</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25">
      <c r="B102" s="97" t="s">
        <v>1024</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1024</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25">
      <c r="B103" s="97" t="s">
        <v>1025</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1025</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25">
      <c r="B104" s="98" t="s">
        <v>1026</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1026</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2" priority="639" operator="equal">
      <formula>0</formula>
    </cfRule>
    <cfRule type="cellIs" dxfId="4701" priority="640" operator="notEqual">
      <formula>0</formula>
    </cfRule>
  </conditionalFormatting>
  <conditionalFormatting sqref="D11:D12">
    <cfRule type="cellIs" dxfId="4700" priority="637" operator="equal">
      <formula>0</formula>
    </cfRule>
    <cfRule type="cellIs" dxfId="4699" priority="638" operator="notEqual">
      <formula>0</formula>
    </cfRule>
  </conditionalFormatting>
  <conditionalFormatting sqref="E11:E12">
    <cfRule type="cellIs" dxfId="4698" priority="635" operator="equal">
      <formula>0</formula>
    </cfRule>
    <cfRule type="cellIs" dxfId="4697" priority="636" operator="notEqual">
      <formula>0</formula>
    </cfRule>
  </conditionalFormatting>
  <conditionalFormatting sqref="F11:F12">
    <cfRule type="cellIs" dxfId="4696" priority="633" operator="equal">
      <formula>0</formula>
    </cfRule>
    <cfRule type="cellIs" dxfId="4695" priority="634" operator="notEqual">
      <formula>0</formula>
    </cfRule>
  </conditionalFormatting>
  <conditionalFormatting sqref="G11:G12">
    <cfRule type="cellIs" dxfId="4694" priority="631" operator="equal">
      <formula>0</formula>
    </cfRule>
    <cfRule type="cellIs" dxfId="4693" priority="632" operator="notEqual">
      <formula>0</formula>
    </cfRule>
  </conditionalFormatting>
  <conditionalFormatting sqref="H11:H12">
    <cfRule type="cellIs" dxfId="4692" priority="629" operator="equal">
      <formula>0</formula>
    </cfRule>
    <cfRule type="cellIs" dxfId="4691" priority="630" operator="notEqual">
      <formula>0</formula>
    </cfRule>
  </conditionalFormatting>
  <conditionalFormatting sqref="I11:I12">
    <cfRule type="cellIs" dxfId="4690" priority="627" operator="equal">
      <formula>0</formula>
    </cfRule>
    <cfRule type="cellIs" dxfId="4689" priority="628" operator="notEqual">
      <formula>0</formula>
    </cfRule>
  </conditionalFormatting>
  <conditionalFormatting sqref="J11:J12">
    <cfRule type="cellIs" dxfId="4688" priority="625" operator="equal">
      <formula>0</formula>
    </cfRule>
    <cfRule type="cellIs" dxfId="4687" priority="626" operator="notEqual">
      <formula>0</formula>
    </cfRule>
  </conditionalFormatting>
  <conditionalFormatting sqref="O10">
    <cfRule type="cellIs" dxfId="4686" priority="623" operator="equal">
      <formula>0</formula>
    </cfRule>
    <cfRule type="cellIs" dxfId="4685" priority="624" operator="notEqual">
      <formula>0</formula>
    </cfRule>
  </conditionalFormatting>
  <conditionalFormatting sqref="O13">
    <cfRule type="cellIs" dxfId="4684" priority="621" operator="equal">
      <formula>0</formula>
    </cfRule>
    <cfRule type="cellIs" dxfId="4683" priority="622" operator="notEqual">
      <formula>0</formula>
    </cfRule>
  </conditionalFormatting>
  <conditionalFormatting sqref="P10">
    <cfRule type="cellIs" dxfId="4682" priority="619" operator="equal">
      <formula>0</formula>
    </cfRule>
    <cfRule type="cellIs" dxfId="4681" priority="620" operator="notEqual">
      <formula>0</formula>
    </cfRule>
  </conditionalFormatting>
  <conditionalFormatting sqref="P13">
    <cfRule type="cellIs" dxfId="4680" priority="617" operator="equal">
      <formula>0</formula>
    </cfRule>
    <cfRule type="cellIs" dxfId="4679" priority="618" operator="notEqual">
      <formula>0</formula>
    </cfRule>
  </conditionalFormatting>
  <conditionalFormatting sqref="Q10">
    <cfRule type="cellIs" dxfId="4678" priority="615" operator="equal">
      <formula>0</formula>
    </cfRule>
    <cfRule type="cellIs" dxfId="4677" priority="616" operator="notEqual">
      <formula>0</formula>
    </cfRule>
  </conditionalFormatting>
  <conditionalFormatting sqref="Q13">
    <cfRule type="cellIs" dxfId="4676" priority="613" operator="equal">
      <formula>0</formula>
    </cfRule>
    <cfRule type="cellIs" dxfId="4675" priority="614" operator="notEqual">
      <formula>0</formula>
    </cfRule>
  </conditionalFormatting>
  <conditionalFormatting sqref="R10">
    <cfRule type="cellIs" dxfId="4674" priority="611" operator="equal">
      <formula>0</formula>
    </cfRule>
    <cfRule type="cellIs" dxfId="4673" priority="612" operator="notEqual">
      <formula>0</formula>
    </cfRule>
  </conditionalFormatting>
  <conditionalFormatting sqref="R13">
    <cfRule type="cellIs" dxfId="4672" priority="609" operator="equal">
      <formula>0</formula>
    </cfRule>
    <cfRule type="cellIs" dxfId="4671" priority="610" operator="notEqual">
      <formula>0</formula>
    </cfRule>
  </conditionalFormatting>
  <conditionalFormatting sqref="C18:C19">
    <cfRule type="cellIs" dxfId="4670" priority="575" operator="equal">
      <formula>0</formula>
    </cfRule>
    <cfRule type="cellIs" dxfId="4669" priority="576" operator="notEqual">
      <formula>0</formula>
    </cfRule>
  </conditionalFormatting>
  <conditionalFormatting sqref="D18:D19">
    <cfRule type="cellIs" dxfId="4668" priority="573" operator="equal">
      <formula>0</formula>
    </cfRule>
    <cfRule type="cellIs" dxfId="4667" priority="574" operator="notEqual">
      <formula>0</formula>
    </cfRule>
  </conditionalFormatting>
  <conditionalFormatting sqref="E18:E19">
    <cfRule type="cellIs" dxfId="4666" priority="571" operator="equal">
      <formula>0</formula>
    </cfRule>
    <cfRule type="cellIs" dxfId="4665" priority="572" operator="notEqual">
      <formula>0</formula>
    </cfRule>
  </conditionalFormatting>
  <conditionalFormatting sqref="F18:F19">
    <cfRule type="cellIs" dxfId="4664" priority="569" operator="equal">
      <formula>0</formula>
    </cfRule>
    <cfRule type="cellIs" dxfId="4663" priority="570" operator="notEqual">
      <formula>0</formula>
    </cfRule>
  </conditionalFormatting>
  <conditionalFormatting sqref="G18:G19">
    <cfRule type="cellIs" dxfId="4662" priority="567" operator="equal">
      <formula>0</formula>
    </cfRule>
    <cfRule type="cellIs" dxfId="4661" priority="568" operator="notEqual">
      <formula>0</formula>
    </cfRule>
  </conditionalFormatting>
  <conditionalFormatting sqref="H18:H19">
    <cfRule type="cellIs" dxfId="4660" priority="565" operator="equal">
      <formula>0</formula>
    </cfRule>
    <cfRule type="cellIs" dxfId="4659" priority="566" operator="notEqual">
      <formula>0</formula>
    </cfRule>
  </conditionalFormatting>
  <conditionalFormatting sqref="I18:I19">
    <cfRule type="cellIs" dxfId="4658" priority="563" operator="equal">
      <formula>0</formula>
    </cfRule>
    <cfRule type="cellIs" dxfId="4657" priority="564" operator="notEqual">
      <formula>0</formula>
    </cfRule>
  </conditionalFormatting>
  <conditionalFormatting sqref="J18:J19">
    <cfRule type="cellIs" dxfId="4656" priority="561" operator="equal">
      <formula>0</formula>
    </cfRule>
    <cfRule type="cellIs" dxfId="4655" priority="562" operator="notEqual">
      <formula>0</formula>
    </cfRule>
  </conditionalFormatting>
  <conditionalFormatting sqref="O17">
    <cfRule type="cellIs" dxfId="4654" priority="559" operator="equal">
      <formula>0</formula>
    </cfRule>
    <cfRule type="cellIs" dxfId="4653" priority="560" operator="notEqual">
      <formula>0</formula>
    </cfRule>
  </conditionalFormatting>
  <conditionalFormatting sqref="O20">
    <cfRule type="cellIs" dxfId="4652" priority="557" operator="equal">
      <formula>0</formula>
    </cfRule>
    <cfRule type="cellIs" dxfId="4651" priority="558" operator="notEqual">
      <formula>0</formula>
    </cfRule>
  </conditionalFormatting>
  <conditionalFormatting sqref="P17">
    <cfRule type="cellIs" dxfId="4650" priority="555" operator="equal">
      <formula>0</formula>
    </cfRule>
    <cfRule type="cellIs" dxfId="4649" priority="556" operator="notEqual">
      <formula>0</formula>
    </cfRule>
  </conditionalFormatting>
  <conditionalFormatting sqref="P20">
    <cfRule type="cellIs" dxfId="4648" priority="553" operator="equal">
      <formula>0</formula>
    </cfRule>
    <cfRule type="cellIs" dxfId="4647" priority="554" operator="notEqual">
      <formula>0</formula>
    </cfRule>
  </conditionalFormatting>
  <conditionalFormatting sqref="Q17">
    <cfRule type="cellIs" dxfId="4646" priority="551" operator="equal">
      <formula>0</formula>
    </cfRule>
    <cfRule type="cellIs" dxfId="4645" priority="552" operator="notEqual">
      <formula>0</formula>
    </cfRule>
  </conditionalFormatting>
  <conditionalFormatting sqref="Q20">
    <cfRule type="cellIs" dxfId="4644" priority="549" operator="equal">
      <formula>0</formula>
    </cfRule>
    <cfRule type="cellIs" dxfId="4643" priority="550" operator="notEqual">
      <formula>0</formula>
    </cfRule>
  </conditionalFormatting>
  <conditionalFormatting sqref="R17">
    <cfRule type="cellIs" dxfId="4642" priority="547" operator="equal">
      <formula>0</formula>
    </cfRule>
    <cfRule type="cellIs" dxfId="4641" priority="548" operator="notEqual">
      <formula>0</formula>
    </cfRule>
  </conditionalFormatting>
  <conditionalFormatting sqref="R20">
    <cfRule type="cellIs" dxfId="4640" priority="545" operator="equal">
      <formula>0</formula>
    </cfRule>
    <cfRule type="cellIs" dxfId="4639" priority="546" operator="notEqual">
      <formula>0</formula>
    </cfRule>
  </conditionalFormatting>
  <conditionalFormatting sqref="C25:C26">
    <cfRule type="cellIs" dxfId="4638" priority="543" operator="equal">
      <formula>0</formula>
    </cfRule>
    <cfRule type="cellIs" dxfId="4637" priority="544" operator="notEqual">
      <formula>0</formula>
    </cfRule>
  </conditionalFormatting>
  <conditionalFormatting sqref="D25:D26">
    <cfRule type="cellIs" dxfId="4636" priority="541" operator="equal">
      <formula>0</formula>
    </cfRule>
    <cfRule type="cellIs" dxfId="4635" priority="542" operator="notEqual">
      <formula>0</formula>
    </cfRule>
  </conditionalFormatting>
  <conditionalFormatting sqref="E25:E26">
    <cfRule type="cellIs" dxfId="4634" priority="539" operator="equal">
      <formula>0</formula>
    </cfRule>
    <cfRule type="cellIs" dxfId="4633" priority="540" operator="notEqual">
      <formula>0</formula>
    </cfRule>
  </conditionalFormatting>
  <conditionalFormatting sqref="F25:F26">
    <cfRule type="cellIs" dxfId="4632" priority="537" operator="equal">
      <formula>0</formula>
    </cfRule>
    <cfRule type="cellIs" dxfId="4631" priority="538" operator="notEqual">
      <formula>0</formula>
    </cfRule>
  </conditionalFormatting>
  <conditionalFormatting sqref="G25:G26">
    <cfRule type="cellIs" dxfId="4630" priority="535" operator="equal">
      <formula>0</formula>
    </cfRule>
    <cfRule type="cellIs" dxfId="4629" priority="536" operator="notEqual">
      <formula>0</formula>
    </cfRule>
  </conditionalFormatting>
  <conditionalFormatting sqref="H25:H26">
    <cfRule type="cellIs" dxfId="4628" priority="533" operator="equal">
      <formula>0</formula>
    </cfRule>
    <cfRule type="cellIs" dxfId="4627" priority="534" operator="notEqual">
      <formula>0</formula>
    </cfRule>
  </conditionalFormatting>
  <conditionalFormatting sqref="I25:I26">
    <cfRule type="cellIs" dxfId="4626" priority="531" operator="equal">
      <formula>0</formula>
    </cfRule>
    <cfRule type="cellIs" dxfId="4625" priority="532" operator="notEqual">
      <formula>0</formula>
    </cfRule>
  </conditionalFormatting>
  <conditionalFormatting sqref="J25:J26">
    <cfRule type="cellIs" dxfId="4624" priority="529" operator="equal">
      <formula>0</formula>
    </cfRule>
    <cfRule type="cellIs" dxfId="4623" priority="530" operator="notEqual">
      <formula>0</formula>
    </cfRule>
  </conditionalFormatting>
  <conditionalFormatting sqref="O24">
    <cfRule type="cellIs" dxfId="4622" priority="527" operator="equal">
      <formula>0</formula>
    </cfRule>
    <cfRule type="cellIs" dxfId="4621" priority="528" operator="notEqual">
      <formula>0</formula>
    </cfRule>
  </conditionalFormatting>
  <conditionalFormatting sqref="O27">
    <cfRule type="cellIs" dxfId="4620" priority="525" operator="equal">
      <formula>0</formula>
    </cfRule>
    <cfRule type="cellIs" dxfId="4619" priority="526" operator="notEqual">
      <formula>0</formula>
    </cfRule>
  </conditionalFormatting>
  <conditionalFormatting sqref="P24">
    <cfRule type="cellIs" dxfId="4618" priority="523" operator="equal">
      <formula>0</formula>
    </cfRule>
    <cfRule type="cellIs" dxfId="4617" priority="524" operator="notEqual">
      <formula>0</formula>
    </cfRule>
  </conditionalFormatting>
  <conditionalFormatting sqref="P27">
    <cfRule type="cellIs" dxfId="4616" priority="521" operator="equal">
      <formula>0</formula>
    </cfRule>
    <cfRule type="cellIs" dxfId="4615" priority="522" operator="notEqual">
      <formula>0</formula>
    </cfRule>
  </conditionalFormatting>
  <conditionalFormatting sqref="Q24">
    <cfRule type="cellIs" dxfId="4614" priority="519" operator="equal">
      <formula>0</formula>
    </cfRule>
    <cfRule type="cellIs" dxfId="4613" priority="520" operator="notEqual">
      <formula>0</formula>
    </cfRule>
  </conditionalFormatting>
  <conditionalFormatting sqref="Q27">
    <cfRule type="cellIs" dxfId="4612" priority="517" operator="equal">
      <formula>0</formula>
    </cfRule>
    <cfRule type="cellIs" dxfId="4611" priority="518" operator="notEqual">
      <formula>0</formula>
    </cfRule>
  </conditionalFormatting>
  <conditionalFormatting sqref="R24">
    <cfRule type="cellIs" dxfId="4610" priority="515" operator="equal">
      <formula>0</formula>
    </cfRule>
    <cfRule type="cellIs" dxfId="4609" priority="516" operator="notEqual">
      <formula>0</formula>
    </cfRule>
  </conditionalFormatting>
  <conditionalFormatting sqref="R27">
    <cfRule type="cellIs" dxfId="4608" priority="513" operator="equal">
      <formula>0</formula>
    </cfRule>
    <cfRule type="cellIs" dxfId="4607" priority="514" operator="notEqual">
      <formula>0</formula>
    </cfRule>
  </conditionalFormatting>
  <conditionalFormatting sqref="C32:C33">
    <cfRule type="cellIs" dxfId="4606" priority="511" operator="equal">
      <formula>0</formula>
    </cfRule>
    <cfRule type="cellIs" dxfId="4605" priority="512" operator="notEqual">
      <formula>0</formula>
    </cfRule>
  </conditionalFormatting>
  <conditionalFormatting sqref="D32:D33">
    <cfRule type="cellIs" dxfId="4604" priority="509" operator="equal">
      <formula>0</formula>
    </cfRule>
    <cfRule type="cellIs" dxfId="4603" priority="510" operator="notEqual">
      <formula>0</formula>
    </cfRule>
  </conditionalFormatting>
  <conditionalFormatting sqref="E32:E33">
    <cfRule type="cellIs" dxfId="4602" priority="507" operator="equal">
      <formula>0</formula>
    </cfRule>
    <cfRule type="cellIs" dxfId="4601" priority="508" operator="notEqual">
      <formula>0</formula>
    </cfRule>
  </conditionalFormatting>
  <conditionalFormatting sqref="F32:F33">
    <cfRule type="cellIs" dxfId="4600" priority="505" operator="equal">
      <formula>0</formula>
    </cfRule>
    <cfRule type="cellIs" dxfId="4599" priority="506" operator="notEqual">
      <formula>0</formula>
    </cfRule>
  </conditionalFormatting>
  <conditionalFormatting sqref="G32:G33">
    <cfRule type="cellIs" dxfId="4598" priority="503" operator="equal">
      <formula>0</formula>
    </cfRule>
    <cfRule type="cellIs" dxfId="4597" priority="504" operator="notEqual">
      <formula>0</formula>
    </cfRule>
  </conditionalFormatting>
  <conditionalFormatting sqref="H32:H33">
    <cfRule type="cellIs" dxfId="4596" priority="501" operator="equal">
      <formula>0</formula>
    </cfRule>
    <cfRule type="cellIs" dxfId="4595" priority="502" operator="notEqual">
      <formula>0</formula>
    </cfRule>
  </conditionalFormatting>
  <conditionalFormatting sqref="I32:I33">
    <cfRule type="cellIs" dxfId="4594" priority="499" operator="equal">
      <formula>0</formula>
    </cfRule>
    <cfRule type="cellIs" dxfId="4593" priority="500" operator="notEqual">
      <formula>0</formula>
    </cfRule>
  </conditionalFormatting>
  <conditionalFormatting sqref="J32:J33">
    <cfRule type="cellIs" dxfId="4592" priority="497" operator="equal">
      <formula>0</formula>
    </cfRule>
    <cfRule type="cellIs" dxfId="4591" priority="498" operator="notEqual">
      <formula>0</formula>
    </cfRule>
  </conditionalFormatting>
  <conditionalFormatting sqref="O31">
    <cfRule type="cellIs" dxfId="4590" priority="495" operator="equal">
      <formula>0</formula>
    </cfRule>
    <cfRule type="cellIs" dxfId="4589" priority="496" operator="notEqual">
      <formula>0</formula>
    </cfRule>
  </conditionalFormatting>
  <conditionalFormatting sqref="O34">
    <cfRule type="cellIs" dxfId="4588" priority="493" operator="equal">
      <formula>0</formula>
    </cfRule>
    <cfRule type="cellIs" dxfId="4587" priority="494" operator="notEqual">
      <formula>0</formula>
    </cfRule>
  </conditionalFormatting>
  <conditionalFormatting sqref="P31">
    <cfRule type="cellIs" dxfId="4586" priority="491" operator="equal">
      <formula>0</formula>
    </cfRule>
    <cfRule type="cellIs" dxfId="4585" priority="492" operator="notEqual">
      <formula>0</formula>
    </cfRule>
  </conditionalFormatting>
  <conditionalFormatting sqref="P34">
    <cfRule type="cellIs" dxfId="4584" priority="489" operator="equal">
      <formula>0</formula>
    </cfRule>
    <cfRule type="cellIs" dxfId="4583" priority="490" operator="notEqual">
      <formula>0</formula>
    </cfRule>
  </conditionalFormatting>
  <conditionalFormatting sqref="Q31">
    <cfRule type="cellIs" dxfId="4582" priority="487" operator="equal">
      <formula>0</formula>
    </cfRule>
    <cfRule type="cellIs" dxfId="4581" priority="488" operator="notEqual">
      <formula>0</formula>
    </cfRule>
  </conditionalFormatting>
  <conditionalFormatting sqref="Q34">
    <cfRule type="cellIs" dxfId="4580" priority="485" operator="equal">
      <formula>0</formula>
    </cfRule>
    <cfRule type="cellIs" dxfId="4579" priority="486" operator="notEqual">
      <formula>0</formula>
    </cfRule>
  </conditionalFormatting>
  <conditionalFormatting sqref="R31">
    <cfRule type="cellIs" dxfId="4578" priority="483" operator="equal">
      <formula>0</formula>
    </cfRule>
    <cfRule type="cellIs" dxfId="4577" priority="484" operator="notEqual">
      <formula>0</formula>
    </cfRule>
  </conditionalFormatting>
  <conditionalFormatting sqref="R34">
    <cfRule type="cellIs" dxfId="4576" priority="481" operator="equal">
      <formula>0</formula>
    </cfRule>
    <cfRule type="cellIs" dxfId="4575" priority="482" operator="notEqual">
      <formula>0</formula>
    </cfRule>
  </conditionalFormatting>
  <conditionalFormatting sqref="C39:C40">
    <cfRule type="cellIs" dxfId="4574" priority="479" operator="equal">
      <formula>0</formula>
    </cfRule>
    <cfRule type="cellIs" dxfId="4573" priority="480" operator="notEqual">
      <formula>0</formula>
    </cfRule>
  </conditionalFormatting>
  <conditionalFormatting sqref="D39:D40">
    <cfRule type="cellIs" dxfId="4572" priority="477" operator="equal">
      <formula>0</formula>
    </cfRule>
    <cfRule type="cellIs" dxfId="4571" priority="478" operator="notEqual">
      <formula>0</formula>
    </cfRule>
  </conditionalFormatting>
  <conditionalFormatting sqref="E39:E40">
    <cfRule type="cellIs" dxfId="4570" priority="475" operator="equal">
      <formula>0</formula>
    </cfRule>
    <cfRule type="cellIs" dxfId="4569" priority="476" operator="notEqual">
      <formula>0</formula>
    </cfRule>
  </conditionalFormatting>
  <conditionalFormatting sqref="F39:F40">
    <cfRule type="cellIs" dxfId="4568" priority="473" operator="equal">
      <formula>0</formula>
    </cfRule>
    <cfRule type="cellIs" dxfId="4567" priority="474" operator="notEqual">
      <formula>0</formula>
    </cfRule>
  </conditionalFormatting>
  <conditionalFormatting sqref="G39:G40">
    <cfRule type="cellIs" dxfId="4566" priority="471" operator="equal">
      <formula>0</formula>
    </cfRule>
    <cfRule type="cellIs" dxfId="4565" priority="472" operator="notEqual">
      <formula>0</formula>
    </cfRule>
  </conditionalFormatting>
  <conditionalFormatting sqref="H39:H40">
    <cfRule type="cellIs" dxfId="4564" priority="469" operator="equal">
      <formula>0</formula>
    </cfRule>
    <cfRule type="cellIs" dxfId="4563" priority="470" operator="notEqual">
      <formula>0</formula>
    </cfRule>
  </conditionalFormatting>
  <conditionalFormatting sqref="I39:I40">
    <cfRule type="cellIs" dxfId="4562" priority="467" operator="equal">
      <formula>0</formula>
    </cfRule>
    <cfRule type="cellIs" dxfId="4561" priority="468" operator="notEqual">
      <formula>0</formula>
    </cfRule>
  </conditionalFormatting>
  <conditionalFormatting sqref="J39:J40">
    <cfRule type="cellIs" dxfId="4560" priority="465" operator="equal">
      <formula>0</formula>
    </cfRule>
    <cfRule type="cellIs" dxfId="4559" priority="466" operator="notEqual">
      <formula>0</formula>
    </cfRule>
  </conditionalFormatting>
  <conditionalFormatting sqref="O38">
    <cfRule type="cellIs" dxfId="4558" priority="463" operator="equal">
      <formula>0</formula>
    </cfRule>
    <cfRule type="cellIs" dxfId="4557" priority="464" operator="notEqual">
      <formula>0</formula>
    </cfRule>
  </conditionalFormatting>
  <conditionalFormatting sqref="O41">
    <cfRule type="cellIs" dxfId="4556" priority="461" operator="equal">
      <formula>0</formula>
    </cfRule>
    <cfRule type="cellIs" dxfId="4555" priority="462" operator="notEqual">
      <formula>0</formula>
    </cfRule>
  </conditionalFormatting>
  <conditionalFormatting sqref="P38">
    <cfRule type="cellIs" dxfId="4554" priority="459" operator="equal">
      <formula>0</formula>
    </cfRule>
    <cfRule type="cellIs" dxfId="4553" priority="460" operator="notEqual">
      <formula>0</formula>
    </cfRule>
  </conditionalFormatting>
  <conditionalFormatting sqref="P41">
    <cfRule type="cellIs" dxfId="4552" priority="457" operator="equal">
      <formula>0</formula>
    </cfRule>
    <cfRule type="cellIs" dxfId="4551" priority="458" operator="notEqual">
      <formula>0</formula>
    </cfRule>
  </conditionalFormatting>
  <conditionalFormatting sqref="Q38">
    <cfRule type="cellIs" dxfId="4550" priority="455" operator="equal">
      <formula>0</formula>
    </cfRule>
    <cfRule type="cellIs" dxfId="4549" priority="456" operator="notEqual">
      <formula>0</formula>
    </cfRule>
  </conditionalFormatting>
  <conditionalFormatting sqref="Q41">
    <cfRule type="cellIs" dxfId="4548" priority="453" operator="equal">
      <formula>0</formula>
    </cfRule>
    <cfRule type="cellIs" dxfId="4547" priority="454" operator="notEqual">
      <formula>0</formula>
    </cfRule>
  </conditionalFormatting>
  <conditionalFormatting sqref="R38">
    <cfRule type="cellIs" dxfId="4546" priority="451" operator="equal">
      <formula>0</formula>
    </cfRule>
    <cfRule type="cellIs" dxfId="4545" priority="452" operator="notEqual">
      <formula>0</formula>
    </cfRule>
  </conditionalFormatting>
  <conditionalFormatting sqref="R41">
    <cfRule type="cellIs" dxfId="4544" priority="449" operator="equal">
      <formula>0</formula>
    </cfRule>
    <cfRule type="cellIs" dxfId="4543" priority="450" operator="notEqual">
      <formula>0</formula>
    </cfRule>
  </conditionalFormatting>
  <conditionalFormatting sqref="C46:C47">
    <cfRule type="cellIs" dxfId="4542" priority="447" operator="equal">
      <formula>0</formula>
    </cfRule>
    <cfRule type="cellIs" dxfId="4541" priority="448" operator="notEqual">
      <formula>0</formula>
    </cfRule>
  </conditionalFormatting>
  <conditionalFormatting sqref="D46:D47">
    <cfRule type="cellIs" dxfId="4540" priority="445" operator="equal">
      <formula>0</formula>
    </cfRule>
    <cfRule type="cellIs" dxfId="4539" priority="446" operator="notEqual">
      <formula>0</formula>
    </cfRule>
  </conditionalFormatting>
  <conditionalFormatting sqref="E46:E47">
    <cfRule type="cellIs" dxfId="4538" priority="443" operator="equal">
      <formula>0</formula>
    </cfRule>
    <cfRule type="cellIs" dxfId="4537" priority="444" operator="notEqual">
      <formula>0</formula>
    </cfRule>
  </conditionalFormatting>
  <conditionalFormatting sqref="F46:F47">
    <cfRule type="cellIs" dxfId="4536" priority="441" operator="equal">
      <formula>0</formula>
    </cfRule>
    <cfRule type="cellIs" dxfId="4535" priority="442" operator="notEqual">
      <formula>0</formula>
    </cfRule>
  </conditionalFormatting>
  <conditionalFormatting sqref="G46:G47">
    <cfRule type="cellIs" dxfId="4534" priority="439" operator="equal">
      <formula>0</formula>
    </cfRule>
    <cfRule type="cellIs" dxfId="4533" priority="440" operator="notEqual">
      <formula>0</formula>
    </cfRule>
  </conditionalFormatting>
  <conditionalFormatting sqref="H46:H47">
    <cfRule type="cellIs" dxfId="4532" priority="437" operator="equal">
      <formula>0</formula>
    </cfRule>
    <cfRule type="cellIs" dxfId="4531" priority="438" operator="notEqual">
      <formula>0</formula>
    </cfRule>
  </conditionalFormatting>
  <conditionalFormatting sqref="I46:I47">
    <cfRule type="cellIs" dxfId="4530" priority="435" operator="equal">
      <formula>0</formula>
    </cfRule>
    <cfRule type="cellIs" dxfId="4529" priority="436" operator="notEqual">
      <formula>0</formula>
    </cfRule>
  </conditionalFormatting>
  <conditionalFormatting sqref="J46:J47">
    <cfRule type="cellIs" dxfId="4528" priority="433" operator="equal">
      <formula>0</formula>
    </cfRule>
    <cfRule type="cellIs" dxfId="4527" priority="434" operator="notEqual">
      <formula>0</formula>
    </cfRule>
  </conditionalFormatting>
  <conditionalFormatting sqref="O45">
    <cfRule type="cellIs" dxfId="4526" priority="431" operator="equal">
      <formula>0</formula>
    </cfRule>
    <cfRule type="cellIs" dxfId="4525" priority="432" operator="notEqual">
      <formula>0</formula>
    </cfRule>
  </conditionalFormatting>
  <conditionalFormatting sqref="O48">
    <cfRule type="cellIs" dxfId="4524" priority="429" operator="equal">
      <formula>0</formula>
    </cfRule>
    <cfRule type="cellIs" dxfId="4523" priority="430" operator="notEqual">
      <formula>0</formula>
    </cfRule>
  </conditionalFormatting>
  <conditionalFormatting sqref="P45">
    <cfRule type="cellIs" dxfId="4522" priority="427" operator="equal">
      <formula>0</formula>
    </cfRule>
    <cfRule type="cellIs" dxfId="4521" priority="428" operator="notEqual">
      <formula>0</formula>
    </cfRule>
  </conditionalFormatting>
  <conditionalFormatting sqref="P48">
    <cfRule type="cellIs" dxfId="4520" priority="425" operator="equal">
      <formula>0</formula>
    </cfRule>
    <cfRule type="cellIs" dxfId="4519" priority="426" operator="notEqual">
      <formula>0</formula>
    </cfRule>
  </conditionalFormatting>
  <conditionalFormatting sqref="Q45">
    <cfRule type="cellIs" dxfId="4518" priority="423" operator="equal">
      <formula>0</formula>
    </cfRule>
    <cfRule type="cellIs" dxfId="4517" priority="424" operator="notEqual">
      <formula>0</formula>
    </cfRule>
  </conditionalFormatting>
  <conditionalFormatting sqref="Q48">
    <cfRule type="cellIs" dxfId="4516" priority="421" operator="equal">
      <formula>0</formula>
    </cfRule>
    <cfRule type="cellIs" dxfId="4515" priority="422" operator="notEqual">
      <formula>0</formula>
    </cfRule>
  </conditionalFormatting>
  <conditionalFormatting sqref="R45">
    <cfRule type="cellIs" dxfId="4514" priority="419" operator="equal">
      <formula>0</formula>
    </cfRule>
    <cfRule type="cellIs" dxfId="4513" priority="420" operator="notEqual">
      <formula>0</formula>
    </cfRule>
  </conditionalFormatting>
  <conditionalFormatting sqref="R48">
    <cfRule type="cellIs" dxfId="4512" priority="417" operator="equal">
      <formula>0</formula>
    </cfRule>
    <cfRule type="cellIs" dxfId="4511" priority="418" operator="notEqual">
      <formula>0</formula>
    </cfRule>
  </conditionalFormatting>
  <conditionalFormatting sqref="C53:C54">
    <cfRule type="cellIs" dxfId="4510" priority="415" operator="equal">
      <formula>0</formula>
    </cfRule>
    <cfRule type="cellIs" dxfId="4509" priority="416" operator="notEqual">
      <formula>0</formula>
    </cfRule>
  </conditionalFormatting>
  <conditionalFormatting sqref="D53:D54">
    <cfRule type="cellIs" dxfId="4508" priority="413" operator="equal">
      <formula>0</formula>
    </cfRule>
    <cfRule type="cellIs" dxfId="4507" priority="414" operator="notEqual">
      <formula>0</formula>
    </cfRule>
  </conditionalFormatting>
  <conditionalFormatting sqref="E53:E54">
    <cfRule type="cellIs" dxfId="4506" priority="411" operator="equal">
      <formula>0</formula>
    </cfRule>
    <cfRule type="cellIs" dxfId="4505" priority="412" operator="notEqual">
      <formula>0</formula>
    </cfRule>
  </conditionalFormatting>
  <conditionalFormatting sqref="F53:F54">
    <cfRule type="cellIs" dxfId="4504" priority="409" operator="equal">
      <formula>0</formula>
    </cfRule>
    <cfRule type="cellIs" dxfId="4503" priority="410" operator="notEqual">
      <formula>0</formula>
    </cfRule>
  </conditionalFormatting>
  <conditionalFormatting sqref="G53:G54">
    <cfRule type="cellIs" dxfId="4502" priority="407" operator="equal">
      <formula>0</formula>
    </cfRule>
    <cfRule type="cellIs" dxfId="4501" priority="408" operator="notEqual">
      <formula>0</formula>
    </cfRule>
  </conditionalFormatting>
  <conditionalFormatting sqref="H53:H54">
    <cfRule type="cellIs" dxfId="4500" priority="405" operator="equal">
      <formula>0</formula>
    </cfRule>
    <cfRule type="cellIs" dxfId="4499" priority="406" operator="notEqual">
      <formula>0</formula>
    </cfRule>
  </conditionalFormatting>
  <conditionalFormatting sqref="I53:I54">
    <cfRule type="cellIs" dxfId="4498" priority="403" operator="equal">
      <formula>0</formula>
    </cfRule>
    <cfRule type="cellIs" dxfId="4497" priority="404" operator="notEqual">
      <formula>0</formula>
    </cfRule>
  </conditionalFormatting>
  <conditionalFormatting sqref="J53:J54">
    <cfRule type="cellIs" dxfId="4496" priority="401" operator="equal">
      <formula>0</formula>
    </cfRule>
    <cfRule type="cellIs" dxfId="4495" priority="402" operator="notEqual">
      <formula>0</formula>
    </cfRule>
  </conditionalFormatting>
  <conditionalFormatting sqref="O52">
    <cfRule type="cellIs" dxfId="4494" priority="399" operator="equal">
      <formula>0</formula>
    </cfRule>
    <cfRule type="cellIs" dxfId="4493" priority="400" operator="notEqual">
      <formula>0</formula>
    </cfRule>
  </conditionalFormatting>
  <conditionalFormatting sqref="O55">
    <cfRule type="cellIs" dxfId="4492" priority="397" operator="equal">
      <formula>0</formula>
    </cfRule>
    <cfRule type="cellIs" dxfId="4491" priority="398" operator="notEqual">
      <formula>0</formula>
    </cfRule>
  </conditionalFormatting>
  <conditionalFormatting sqref="P52">
    <cfRule type="cellIs" dxfId="4490" priority="395" operator="equal">
      <formula>0</formula>
    </cfRule>
    <cfRule type="cellIs" dxfId="4489" priority="396" operator="notEqual">
      <formula>0</formula>
    </cfRule>
  </conditionalFormatting>
  <conditionalFormatting sqref="P55">
    <cfRule type="cellIs" dxfId="4488" priority="393" operator="equal">
      <formula>0</formula>
    </cfRule>
    <cfRule type="cellIs" dxfId="4487" priority="394" operator="notEqual">
      <formula>0</formula>
    </cfRule>
  </conditionalFormatting>
  <conditionalFormatting sqref="Q52">
    <cfRule type="cellIs" dxfId="4486" priority="391" operator="equal">
      <formula>0</formula>
    </cfRule>
    <cfRule type="cellIs" dxfId="4485" priority="392" operator="notEqual">
      <formula>0</formula>
    </cfRule>
  </conditionalFormatting>
  <conditionalFormatting sqref="Q55">
    <cfRule type="cellIs" dxfId="4484" priority="389" operator="equal">
      <formula>0</formula>
    </cfRule>
    <cfRule type="cellIs" dxfId="4483" priority="390" operator="notEqual">
      <formula>0</formula>
    </cfRule>
  </conditionalFormatting>
  <conditionalFormatting sqref="R52">
    <cfRule type="cellIs" dxfId="4482" priority="387" operator="equal">
      <formula>0</formula>
    </cfRule>
    <cfRule type="cellIs" dxfId="4481" priority="388" operator="notEqual">
      <formula>0</formula>
    </cfRule>
  </conditionalFormatting>
  <conditionalFormatting sqref="R55">
    <cfRule type="cellIs" dxfId="4480" priority="385" operator="equal">
      <formula>0</formula>
    </cfRule>
    <cfRule type="cellIs" dxfId="4479" priority="386" operator="notEqual">
      <formula>0</formula>
    </cfRule>
  </conditionalFormatting>
  <conditionalFormatting sqref="C60:C61">
    <cfRule type="cellIs" dxfId="4478" priority="383" operator="equal">
      <formula>0</formula>
    </cfRule>
    <cfRule type="cellIs" dxfId="4477" priority="384" operator="notEqual">
      <formula>0</formula>
    </cfRule>
  </conditionalFormatting>
  <conditionalFormatting sqref="D60:D61">
    <cfRule type="cellIs" dxfId="4476" priority="381" operator="equal">
      <formula>0</formula>
    </cfRule>
    <cfRule type="cellIs" dxfId="4475" priority="382" operator="notEqual">
      <formula>0</formula>
    </cfRule>
  </conditionalFormatting>
  <conditionalFormatting sqref="E60:E61">
    <cfRule type="cellIs" dxfId="4474" priority="379" operator="equal">
      <formula>0</formula>
    </cfRule>
    <cfRule type="cellIs" dxfId="4473" priority="380" operator="notEqual">
      <formula>0</formula>
    </cfRule>
  </conditionalFormatting>
  <conditionalFormatting sqref="F60:F61">
    <cfRule type="cellIs" dxfId="4472" priority="377" operator="equal">
      <formula>0</formula>
    </cfRule>
    <cfRule type="cellIs" dxfId="4471" priority="378" operator="notEqual">
      <formula>0</formula>
    </cfRule>
  </conditionalFormatting>
  <conditionalFormatting sqref="G60:G61">
    <cfRule type="cellIs" dxfId="4470" priority="375" operator="equal">
      <formula>0</formula>
    </cfRule>
    <cfRule type="cellIs" dxfId="4469" priority="376" operator="notEqual">
      <formula>0</formula>
    </cfRule>
  </conditionalFormatting>
  <conditionalFormatting sqref="H60:H61">
    <cfRule type="cellIs" dxfId="4468" priority="373" operator="equal">
      <formula>0</formula>
    </cfRule>
    <cfRule type="cellIs" dxfId="4467" priority="374" operator="notEqual">
      <formula>0</formula>
    </cfRule>
  </conditionalFormatting>
  <conditionalFormatting sqref="I60:I61">
    <cfRule type="cellIs" dxfId="4466" priority="371" operator="equal">
      <formula>0</formula>
    </cfRule>
    <cfRule type="cellIs" dxfId="4465" priority="372" operator="notEqual">
      <formula>0</formula>
    </cfRule>
  </conditionalFormatting>
  <conditionalFormatting sqref="J60:J61">
    <cfRule type="cellIs" dxfId="4464" priority="369" operator="equal">
      <formula>0</formula>
    </cfRule>
    <cfRule type="cellIs" dxfId="4463" priority="370" operator="notEqual">
      <formula>0</formula>
    </cfRule>
  </conditionalFormatting>
  <conditionalFormatting sqref="O59">
    <cfRule type="cellIs" dxfId="4462" priority="367" operator="equal">
      <formula>0</formula>
    </cfRule>
    <cfRule type="cellIs" dxfId="4461" priority="368" operator="notEqual">
      <formula>0</formula>
    </cfRule>
  </conditionalFormatting>
  <conditionalFormatting sqref="O62">
    <cfRule type="cellIs" dxfId="4460" priority="365" operator="equal">
      <formula>0</formula>
    </cfRule>
    <cfRule type="cellIs" dxfId="4459" priority="366" operator="notEqual">
      <formula>0</formula>
    </cfRule>
  </conditionalFormatting>
  <conditionalFormatting sqref="P59">
    <cfRule type="cellIs" dxfId="4458" priority="363" operator="equal">
      <formula>0</formula>
    </cfRule>
    <cfRule type="cellIs" dxfId="4457" priority="364" operator="notEqual">
      <formula>0</formula>
    </cfRule>
  </conditionalFormatting>
  <conditionalFormatting sqref="P62">
    <cfRule type="cellIs" dxfId="4456" priority="361" operator="equal">
      <formula>0</formula>
    </cfRule>
    <cfRule type="cellIs" dxfId="4455" priority="362" operator="notEqual">
      <formula>0</formula>
    </cfRule>
  </conditionalFormatting>
  <conditionalFormatting sqref="Q59">
    <cfRule type="cellIs" dxfId="4454" priority="359" operator="equal">
      <formula>0</formula>
    </cfRule>
    <cfRule type="cellIs" dxfId="4453" priority="360" operator="notEqual">
      <formula>0</formula>
    </cfRule>
  </conditionalFormatting>
  <conditionalFormatting sqref="Q62">
    <cfRule type="cellIs" dxfId="4452" priority="357" operator="equal">
      <formula>0</formula>
    </cfRule>
    <cfRule type="cellIs" dxfId="4451" priority="358" operator="notEqual">
      <formula>0</formula>
    </cfRule>
  </conditionalFormatting>
  <conditionalFormatting sqref="R59">
    <cfRule type="cellIs" dxfId="4450" priority="355" operator="equal">
      <formula>0</formula>
    </cfRule>
    <cfRule type="cellIs" dxfId="4449" priority="356" operator="notEqual">
      <formula>0</formula>
    </cfRule>
  </conditionalFormatting>
  <conditionalFormatting sqref="R62">
    <cfRule type="cellIs" dxfId="4448" priority="353" operator="equal">
      <formula>0</formula>
    </cfRule>
    <cfRule type="cellIs" dxfId="4447" priority="354" operator="notEqual">
      <formula>0</formula>
    </cfRule>
  </conditionalFormatting>
  <conditionalFormatting sqref="C67:C68">
    <cfRule type="cellIs" dxfId="4446" priority="351" operator="equal">
      <formula>0</formula>
    </cfRule>
    <cfRule type="cellIs" dxfId="4445" priority="352" operator="notEqual">
      <formula>0</formula>
    </cfRule>
  </conditionalFormatting>
  <conditionalFormatting sqref="D67:D68">
    <cfRule type="cellIs" dxfId="4444" priority="349" operator="equal">
      <formula>0</formula>
    </cfRule>
    <cfRule type="cellIs" dxfId="4443" priority="350" operator="notEqual">
      <formula>0</formula>
    </cfRule>
  </conditionalFormatting>
  <conditionalFormatting sqref="E67:E68">
    <cfRule type="cellIs" dxfId="4442" priority="347" operator="equal">
      <formula>0</formula>
    </cfRule>
    <cfRule type="cellIs" dxfId="4441" priority="348" operator="notEqual">
      <formula>0</formula>
    </cfRule>
  </conditionalFormatting>
  <conditionalFormatting sqref="F67:F68">
    <cfRule type="cellIs" dxfId="4440" priority="345" operator="equal">
      <formula>0</formula>
    </cfRule>
    <cfRule type="cellIs" dxfId="4439" priority="346" operator="notEqual">
      <formula>0</formula>
    </cfRule>
  </conditionalFormatting>
  <conditionalFormatting sqref="G67:G68">
    <cfRule type="cellIs" dxfId="4438" priority="343" operator="equal">
      <formula>0</formula>
    </cfRule>
    <cfRule type="cellIs" dxfId="4437" priority="344" operator="notEqual">
      <formula>0</formula>
    </cfRule>
  </conditionalFormatting>
  <conditionalFormatting sqref="H67:H68">
    <cfRule type="cellIs" dxfId="4436" priority="341" operator="equal">
      <formula>0</formula>
    </cfRule>
    <cfRule type="cellIs" dxfId="4435" priority="342" operator="notEqual">
      <formula>0</formula>
    </cfRule>
  </conditionalFormatting>
  <conditionalFormatting sqref="I67:I68">
    <cfRule type="cellIs" dxfId="4434" priority="339" operator="equal">
      <formula>0</formula>
    </cfRule>
    <cfRule type="cellIs" dxfId="4433" priority="340" operator="notEqual">
      <formula>0</formula>
    </cfRule>
  </conditionalFormatting>
  <conditionalFormatting sqref="J67:J68">
    <cfRule type="cellIs" dxfId="4432" priority="337" operator="equal">
      <formula>0</formula>
    </cfRule>
    <cfRule type="cellIs" dxfId="4431" priority="338" operator="notEqual">
      <formula>0</formula>
    </cfRule>
  </conditionalFormatting>
  <conditionalFormatting sqref="O66">
    <cfRule type="cellIs" dxfId="4430" priority="335" operator="equal">
      <formula>0</formula>
    </cfRule>
    <cfRule type="cellIs" dxfId="4429" priority="336" operator="notEqual">
      <formula>0</formula>
    </cfRule>
  </conditionalFormatting>
  <conditionalFormatting sqref="O69">
    <cfRule type="cellIs" dxfId="4428" priority="333" operator="equal">
      <formula>0</formula>
    </cfRule>
    <cfRule type="cellIs" dxfId="4427" priority="334" operator="notEqual">
      <formula>0</formula>
    </cfRule>
  </conditionalFormatting>
  <conditionalFormatting sqref="P66">
    <cfRule type="cellIs" dxfId="4426" priority="331" operator="equal">
      <formula>0</formula>
    </cfRule>
    <cfRule type="cellIs" dxfId="4425" priority="332" operator="notEqual">
      <formula>0</formula>
    </cfRule>
  </conditionalFormatting>
  <conditionalFormatting sqref="P69">
    <cfRule type="cellIs" dxfId="4424" priority="329" operator="equal">
      <formula>0</formula>
    </cfRule>
    <cfRule type="cellIs" dxfId="4423" priority="330" operator="notEqual">
      <formula>0</formula>
    </cfRule>
  </conditionalFormatting>
  <conditionalFormatting sqref="Q66">
    <cfRule type="cellIs" dxfId="4422" priority="327" operator="equal">
      <formula>0</formula>
    </cfRule>
    <cfRule type="cellIs" dxfId="4421" priority="328" operator="notEqual">
      <formula>0</formula>
    </cfRule>
  </conditionalFormatting>
  <conditionalFormatting sqref="Q69">
    <cfRule type="cellIs" dxfId="4420" priority="325" operator="equal">
      <formula>0</formula>
    </cfRule>
    <cfRule type="cellIs" dxfId="4419" priority="326" operator="notEqual">
      <formula>0</formula>
    </cfRule>
  </conditionalFormatting>
  <conditionalFormatting sqref="R66">
    <cfRule type="cellIs" dxfId="4418" priority="323" operator="equal">
      <formula>0</formula>
    </cfRule>
    <cfRule type="cellIs" dxfId="4417" priority="324" operator="notEqual">
      <formula>0</formula>
    </cfRule>
  </conditionalFormatting>
  <conditionalFormatting sqref="R69">
    <cfRule type="cellIs" dxfId="4416" priority="321" operator="equal">
      <formula>0</formula>
    </cfRule>
    <cfRule type="cellIs" dxfId="4415" priority="322" operator="notEqual">
      <formula>0</formula>
    </cfRule>
  </conditionalFormatting>
  <conditionalFormatting sqref="C74:C75 C81:C82 C88:C89 C95:C96 C102:C103">
    <cfRule type="cellIs" dxfId="4414" priority="319" operator="equal">
      <formula>0</formula>
    </cfRule>
    <cfRule type="cellIs" dxfId="4413" priority="320" operator="notEqual">
      <formula>0</formula>
    </cfRule>
  </conditionalFormatting>
  <conditionalFormatting sqref="D74:D75 D81:D82 D88:D89 D95:D96 D102:D103">
    <cfRule type="cellIs" dxfId="4412" priority="317" operator="equal">
      <formula>0</formula>
    </cfRule>
    <cfRule type="cellIs" dxfId="4411" priority="318" operator="notEqual">
      <formula>0</formula>
    </cfRule>
  </conditionalFormatting>
  <conditionalFormatting sqref="E74:E75 E81:E82 E88:E89 E95:E96 E102:E103">
    <cfRule type="cellIs" dxfId="4410" priority="315" operator="equal">
      <formula>0</formula>
    </cfRule>
    <cfRule type="cellIs" dxfId="4409" priority="316" operator="notEqual">
      <formula>0</formula>
    </cfRule>
  </conditionalFormatting>
  <conditionalFormatting sqref="F74:F75 F81:F82 F88:F89 F95:F96 F102:F103">
    <cfRule type="cellIs" dxfId="4408" priority="313" operator="equal">
      <formula>0</formula>
    </cfRule>
    <cfRule type="cellIs" dxfId="4407" priority="314" operator="notEqual">
      <formula>0</formula>
    </cfRule>
  </conditionalFormatting>
  <conditionalFormatting sqref="G74:G75 G81:G82 G88:G89 G95:G96 G102:G103">
    <cfRule type="cellIs" dxfId="4406" priority="311" operator="equal">
      <formula>0</formula>
    </cfRule>
    <cfRule type="cellIs" dxfId="4405" priority="312" operator="notEqual">
      <formula>0</formula>
    </cfRule>
  </conditionalFormatting>
  <conditionalFormatting sqref="H74:H75 H81:H82 H88:H89 H95:H96 H102:H103">
    <cfRule type="cellIs" dxfId="4404" priority="309" operator="equal">
      <formula>0</formula>
    </cfRule>
    <cfRule type="cellIs" dxfId="4403" priority="310" operator="notEqual">
      <formula>0</formula>
    </cfRule>
  </conditionalFormatting>
  <conditionalFormatting sqref="I74:I75 I81:I82 I88:I89 I95:I96 I102:I103">
    <cfRule type="cellIs" dxfId="4402" priority="307" operator="equal">
      <formula>0</formula>
    </cfRule>
    <cfRule type="cellIs" dxfId="4401" priority="308" operator="notEqual">
      <formula>0</formula>
    </cfRule>
  </conditionalFormatting>
  <conditionalFormatting sqref="J74:J75 J81:J82 J88:J89 J95:J96 J102:J103">
    <cfRule type="cellIs" dxfId="4400" priority="305" operator="equal">
      <formula>0</formula>
    </cfRule>
    <cfRule type="cellIs" dxfId="4399" priority="306" operator="notEqual">
      <formula>0</formula>
    </cfRule>
  </conditionalFormatting>
  <conditionalFormatting sqref="O73 O80 O87 O94 O101">
    <cfRule type="cellIs" dxfId="4398" priority="303" operator="equal">
      <formula>0</formula>
    </cfRule>
    <cfRule type="cellIs" dxfId="4397" priority="304" operator="notEqual">
      <formula>0</formula>
    </cfRule>
  </conditionalFormatting>
  <conditionalFormatting sqref="O76 O83 O90 O97 O104">
    <cfRule type="cellIs" dxfId="4396" priority="301" operator="equal">
      <formula>0</formula>
    </cfRule>
    <cfRule type="cellIs" dxfId="4395" priority="302" operator="notEqual">
      <formula>0</formula>
    </cfRule>
  </conditionalFormatting>
  <conditionalFormatting sqref="P73 P80 P87 P94 P101">
    <cfRule type="cellIs" dxfId="4394" priority="299" operator="equal">
      <formula>0</formula>
    </cfRule>
    <cfRule type="cellIs" dxfId="4393" priority="300" operator="notEqual">
      <formula>0</formula>
    </cfRule>
  </conditionalFormatting>
  <conditionalFormatting sqref="P76 P83 P90 P97 P104">
    <cfRule type="cellIs" dxfId="4392" priority="297" operator="equal">
      <formula>0</formula>
    </cfRule>
    <cfRule type="cellIs" dxfId="4391" priority="298" operator="notEqual">
      <formula>0</formula>
    </cfRule>
  </conditionalFormatting>
  <conditionalFormatting sqref="Q73 Q80 Q87 Q94 Q101">
    <cfRule type="cellIs" dxfId="4390" priority="295" operator="equal">
      <formula>0</formula>
    </cfRule>
    <cfRule type="cellIs" dxfId="4389" priority="296" operator="notEqual">
      <formula>0</formula>
    </cfRule>
  </conditionalFormatting>
  <conditionalFormatting sqref="Q76 Q83 Q90 Q97 Q104">
    <cfRule type="cellIs" dxfId="4388" priority="293" operator="equal">
      <formula>0</formula>
    </cfRule>
    <cfRule type="cellIs" dxfId="4387" priority="294" operator="notEqual">
      <formula>0</formula>
    </cfRule>
  </conditionalFormatting>
  <conditionalFormatting sqref="R73 R80 R87 R94 R101">
    <cfRule type="cellIs" dxfId="4386" priority="291" operator="equal">
      <formula>0</formula>
    </cfRule>
    <cfRule type="cellIs" dxfId="4385" priority="292" operator="notEqual">
      <formula>0</formula>
    </cfRule>
  </conditionalFormatting>
  <conditionalFormatting sqref="R76 R83 R90 R97 R104">
    <cfRule type="cellIs" dxfId="4384" priority="289" operator="equal">
      <formula>0</formula>
    </cfRule>
    <cfRule type="cellIs" dxfId="4383" priority="290" operator="notEqual">
      <formula>0</formula>
    </cfRule>
  </conditionalFormatting>
  <conditionalFormatting sqref="U67:U68 U74:U75 U81:U82 U88:U89 U95:U96 U102:U103">
    <cfRule type="cellIs" dxfId="4382" priority="287" operator="equal">
      <formula>0</formula>
    </cfRule>
    <cfRule type="cellIs" dxfId="4381" priority="288" operator="notEqual">
      <formula>0</formula>
    </cfRule>
  </conditionalFormatting>
  <conditionalFormatting sqref="V67:V68 V74:V75 V81:V82 V88:V89 V95:V96 V102:V103">
    <cfRule type="cellIs" dxfId="4380" priority="285" operator="equal">
      <formula>0</formula>
    </cfRule>
    <cfRule type="cellIs" dxfId="4379" priority="286" operator="notEqual">
      <formula>0</formula>
    </cfRule>
  </conditionalFormatting>
  <conditionalFormatting sqref="W67:W68 W74:W75 W81:W82 W88:W89 W95:W96 W102:W103">
    <cfRule type="cellIs" dxfId="4378" priority="283" operator="equal">
      <formula>0</formula>
    </cfRule>
    <cfRule type="cellIs" dxfId="4377" priority="284" operator="notEqual">
      <formula>0</formula>
    </cfRule>
  </conditionalFormatting>
  <conditionalFormatting sqref="X67:X68 X74:X75 X81:X82 X88:X89 X95:X96 X102:X103">
    <cfRule type="cellIs" dxfId="4376" priority="281" operator="equal">
      <formula>0</formula>
    </cfRule>
    <cfRule type="cellIs" dxfId="4375" priority="282" operator="notEqual">
      <formula>0</formula>
    </cfRule>
  </conditionalFormatting>
  <conditionalFormatting sqref="Y67:Y68 Y74:Y75 Y81:Y82 Y88:Y89 Y95:Y96 Y102:Y103">
    <cfRule type="cellIs" dxfId="4374" priority="279" operator="equal">
      <formula>0</formula>
    </cfRule>
    <cfRule type="cellIs" dxfId="4373" priority="280" operator="notEqual">
      <formula>0</formula>
    </cfRule>
  </conditionalFormatting>
  <conditionalFormatting sqref="Z67:Z68 Z74:Z75 Z81:Z82 Z88:Z89 Z95:Z96 Z102:Z103">
    <cfRule type="cellIs" dxfId="4372" priority="277" operator="equal">
      <formula>0</formula>
    </cfRule>
    <cfRule type="cellIs" dxfId="4371" priority="278" operator="notEqual">
      <formula>0</formula>
    </cfRule>
  </conditionalFormatting>
  <conditionalFormatting sqref="AA67:AA68 AA74:AA75 AA81:AA82 AA88:AA89 AA95:AA96 AA102:AA103">
    <cfRule type="cellIs" dxfId="4370" priority="275" operator="equal">
      <formula>0</formula>
    </cfRule>
    <cfRule type="cellIs" dxfId="4369" priority="276" operator="notEqual">
      <formula>0</formula>
    </cfRule>
  </conditionalFormatting>
  <conditionalFormatting sqref="AB67:AB68 AB74:AB75 AB81:AB82 AB88:AB89 AB95:AB96 AB102:AB103">
    <cfRule type="cellIs" dxfId="4368" priority="273" operator="equal">
      <formula>0</formula>
    </cfRule>
    <cfRule type="cellIs" dxfId="4367" priority="274" operator="notEqual">
      <formula>0</formula>
    </cfRule>
  </conditionalFormatting>
  <conditionalFormatting sqref="AG66 AG73 AG80 AG87 AG94 AG101">
    <cfRule type="cellIs" dxfId="4366" priority="271" operator="equal">
      <formula>0</formula>
    </cfRule>
    <cfRule type="cellIs" dxfId="4365" priority="272" operator="notEqual">
      <formula>0</formula>
    </cfRule>
  </conditionalFormatting>
  <conditionalFormatting sqref="AG69 AG76 AG83 AG90 AG97 AG104">
    <cfRule type="cellIs" dxfId="4364" priority="269" operator="equal">
      <formula>0</formula>
    </cfRule>
    <cfRule type="cellIs" dxfId="4363" priority="270" operator="notEqual">
      <formula>0</formula>
    </cfRule>
  </conditionalFormatting>
  <conditionalFormatting sqref="AH66 AH73 AH80 AH87 AH94 AH101">
    <cfRule type="cellIs" dxfId="4362" priority="267" operator="equal">
      <formula>0</formula>
    </cfRule>
    <cfRule type="cellIs" dxfId="4361" priority="268" operator="notEqual">
      <formula>0</formula>
    </cfRule>
  </conditionalFormatting>
  <conditionalFormatting sqref="AH69 AH76 AH83 AH90 AH97 AH104">
    <cfRule type="cellIs" dxfId="4360" priority="265" operator="equal">
      <formula>0</formula>
    </cfRule>
    <cfRule type="cellIs" dxfId="4359" priority="266" operator="notEqual">
      <formula>0</formula>
    </cfRule>
  </conditionalFormatting>
  <conditionalFormatting sqref="AI66 AI73 AI80 AI87 AI94 AI101">
    <cfRule type="cellIs" dxfId="4358" priority="263" operator="equal">
      <formula>0</formula>
    </cfRule>
    <cfRule type="cellIs" dxfId="4357" priority="264" operator="notEqual">
      <formula>0</formula>
    </cfRule>
  </conditionalFormatting>
  <conditionalFormatting sqref="AI69 AI76 AI83 AI90 AI97 AI104">
    <cfRule type="cellIs" dxfId="4356" priority="261" operator="equal">
      <formula>0</formula>
    </cfRule>
    <cfRule type="cellIs" dxfId="4355" priority="262" operator="notEqual">
      <formula>0</formula>
    </cfRule>
  </conditionalFormatting>
  <conditionalFormatting sqref="AJ66 AJ73 AJ80 AJ87 AJ94 AJ101">
    <cfRule type="cellIs" dxfId="4354" priority="259" operator="equal">
      <formula>0</formula>
    </cfRule>
    <cfRule type="cellIs" dxfId="4353" priority="260" operator="notEqual">
      <formula>0</formula>
    </cfRule>
  </conditionalFormatting>
  <conditionalFormatting sqref="AJ69 AJ76 AJ83 AJ90 AJ97 AJ104">
    <cfRule type="cellIs" dxfId="4352" priority="257" operator="equal">
      <formula>0</formula>
    </cfRule>
    <cfRule type="cellIs" dxfId="4351" priority="258" operator="notEqual">
      <formula>0</formula>
    </cfRule>
  </conditionalFormatting>
  <conditionalFormatting sqref="U60:U61">
    <cfRule type="cellIs" dxfId="4350" priority="255" operator="equal">
      <formula>0</formula>
    </cfRule>
    <cfRule type="cellIs" dxfId="4349" priority="256" operator="notEqual">
      <formula>0</formula>
    </cfRule>
  </conditionalFormatting>
  <conditionalFormatting sqref="V60:V61">
    <cfRule type="cellIs" dxfId="4348" priority="253" operator="equal">
      <formula>0</formula>
    </cfRule>
    <cfRule type="cellIs" dxfId="4347" priority="254" operator="notEqual">
      <formula>0</formula>
    </cfRule>
  </conditionalFormatting>
  <conditionalFormatting sqref="W60:W61">
    <cfRule type="cellIs" dxfId="4346" priority="251" operator="equal">
      <formula>0</formula>
    </cfRule>
    <cfRule type="cellIs" dxfId="4345" priority="252" operator="notEqual">
      <formula>0</formula>
    </cfRule>
  </conditionalFormatting>
  <conditionalFormatting sqref="X60:X61">
    <cfRule type="cellIs" dxfId="4344" priority="249" operator="equal">
      <formula>0</formula>
    </cfRule>
    <cfRule type="cellIs" dxfId="4343" priority="250" operator="notEqual">
      <formula>0</formula>
    </cfRule>
  </conditionalFormatting>
  <conditionalFormatting sqref="Y60:Y61">
    <cfRule type="cellIs" dxfId="4342" priority="247" operator="equal">
      <formula>0</formula>
    </cfRule>
    <cfRule type="cellIs" dxfId="4341" priority="248" operator="notEqual">
      <formula>0</formula>
    </cfRule>
  </conditionalFormatting>
  <conditionalFormatting sqref="Z60:Z61">
    <cfRule type="cellIs" dxfId="4340" priority="245" operator="equal">
      <formula>0</formula>
    </cfRule>
    <cfRule type="cellIs" dxfId="4339" priority="246" operator="notEqual">
      <formula>0</formula>
    </cfRule>
  </conditionalFormatting>
  <conditionalFormatting sqref="AA60:AA61">
    <cfRule type="cellIs" dxfId="4338" priority="243" operator="equal">
      <formula>0</formula>
    </cfRule>
    <cfRule type="cellIs" dxfId="4337" priority="244" operator="notEqual">
      <formula>0</formula>
    </cfRule>
  </conditionalFormatting>
  <conditionalFormatting sqref="AB60:AB61">
    <cfRule type="cellIs" dxfId="4336" priority="241" operator="equal">
      <formula>0</formula>
    </cfRule>
    <cfRule type="cellIs" dxfId="4335" priority="242" operator="notEqual">
      <formula>0</formula>
    </cfRule>
  </conditionalFormatting>
  <conditionalFormatting sqref="AG59">
    <cfRule type="cellIs" dxfId="4334" priority="239" operator="equal">
      <formula>0</formula>
    </cfRule>
    <cfRule type="cellIs" dxfId="4333" priority="240" operator="notEqual">
      <formula>0</formula>
    </cfRule>
  </conditionalFormatting>
  <conditionalFormatting sqref="AG62">
    <cfRule type="cellIs" dxfId="4332" priority="237" operator="equal">
      <formula>0</formula>
    </cfRule>
    <cfRule type="cellIs" dxfId="4331" priority="238" operator="notEqual">
      <formula>0</formula>
    </cfRule>
  </conditionalFormatting>
  <conditionalFormatting sqref="AH59">
    <cfRule type="cellIs" dxfId="4330" priority="235" operator="equal">
      <formula>0</formula>
    </cfRule>
    <cfRule type="cellIs" dxfId="4329" priority="236" operator="notEqual">
      <formula>0</formula>
    </cfRule>
  </conditionalFormatting>
  <conditionalFormatting sqref="AH62">
    <cfRule type="cellIs" dxfId="4328" priority="233" operator="equal">
      <formula>0</formula>
    </cfRule>
    <cfRule type="cellIs" dxfId="4327" priority="234" operator="notEqual">
      <formula>0</formula>
    </cfRule>
  </conditionalFormatting>
  <conditionalFormatting sqref="AI59">
    <cfRule type="cellIs" dxfId="4326" priority="231" operator="equal">
      <formula>0</formula>
    </cfRule>
    <cfRule type="cellIs" dxfId="4325" priority="232" operator="notEqual">
      <formula>0</formula>
    </cfRule>
  </conditionalFormatting>
  <conditionalFormatting sqref="AI62">
    <cfRule type="cellIs" dxfId="4324" priority="229" operator="equal">
      <formula>0</formula>
    </cfRule>
    <cfRule type="cellIs" dxfId="4323" priority="230" operator="notEqual">
      <formula>0</formula>
    </cfRule>
  </conditionalFormatting>
  <conditionalFormatting sqref="AJ59">
    <cfRule type="cellIs" dxfId="4322" priority="227" operator="equal">
      <formula>0</formula>
    </cfRule>
    <cfRule type="cellIs" dxfId="4321" priority="228" operator="notEqual">
      <formula>0</formula>
    </cfRule>
  </conditionalFormatting>
  <conditionalFormatting sqref="AJ62">
    <cfRule type="cellIs" dxfId="4320" priority="225" operator="equal">
      <formula>0</formula>
    </cfRule>
    <cfRule type="cellIs" dxfId="4319" priority="226" operator="notEqual">
      <formula>0</formula>
    </cfRule>
  </conditionalFormatting>
  <conditionalFormatting sqref="U53:U54">
    <cfRule type="cellIs" dxfId="4318" priority="223" operator="equal">
      <formula>0</formula>
    </cfRule>
    <cfRule type="cellIs" dxfId="4317" priority="224" operator="notEqual">
      <formula>0</formula>
    </cfRule>
  </conditionalFormatting>
  <conditionalFormatting sqref="V53:V54">
    <cfRule type="cellIs" dxfId="4316" priority="221" operator="equal">
      <formula>0</formula>
    </cfRule>
    <cfRule type="cellIs" dxfId="4315" priority="222" operator="notEqual">
      <formula>0</formula>
    </cfRule>
  </conditionalFormatting>
  <conditionalFormatting sqref="W53:W54">
    <cfRule type="cellIs" dxfId="4314" priority="219" operator="equal">
      <formula>0</formula>
    </cfRule>
    <cfRule type="cellIs" dxfId="4313" priority="220" operator="notEqual">
      <formula>0</formula>
    </cfRule>
  </conditionalFormatting>
  <conditionalFormatting sqref="X53:X54">
    <cfRule type="cellIs" dxfId="4312" priority="217" operator="equal">
      <formula>0</formula>
    </cfRule>
    <cfRule type="cellIs" dxfId="4311" priority="218" operator="notEqual">
      <formula>0</formula>
    </cfRule>
  </conditionalFormatting>
  <conditionalFormatting sqref="Y53:Y54">
    <cfRule type="cellIs" dxfId="4310" priority="215" operator="equal">
      <formula>0</formula>
    </cfRule>
    <cfRule type="cellIs" dxfId="4309" priority="216" operator="notEqual">
      <formula>0</formula>
    </cfRule>
  </conditionalFormatting>
  <conditionalFormatting sqref="Z53:Z54">
    <cfRule type="cellIs" dxfId="4308" priority="213" operator="equal">
      <formula>0</formula>
    </cfRule>
    <cfRule type="cellIs" dxfId="4307" priority="214" operator="notEqual">
      <formula>0</formula>
    </cfRule>
  </conditionalFormatting>
  <conditionalFormatting sqref="AA53:AA54">
    <cfRule type="cellIs" dxfId="4306" priority="211" operator="equal">
      <formula>0</formula>
    </cfRule>
    <cfRule type="cellIs" dxfId="4305" priority="212" operator="notEqual">
      <formula>0</formula>
    </cfRule>
  </conditionalFormatting>
  <conditionalFormatting sqref="AB53:AB54">
    <cfRule type="cellIs" dxfId="4304" priority="209" operator="equal">
      <formula>0</formula>
    </cfRule>
    <cfRule type="cellIs" dxfId="4303" priority="210" operator="notEqual">
      <formula>0</formula>
    </cfRule>
  </conditionalFormatting>
  <conditionalFormatting sqref="AG52">
    <cfRule type="cellIs" dxfId="4302" priority="207" operator="equal">
      <formula>0</formula>
    </cfRule>
    <cfRule type="cellIs" dxfId="4301" priority="208" operator="notEqual">
      <formula>0</formula>
    </cfRule>
  </conditionalFormatting>
  <conditionalFormatting sqref="AG55">
    <cfRule type="cellIs" dxfId="4300" priority="205" operator="equal">
      <formula>0</formula>
    </cfRule>
    <cfRule type="cellIs" dxfId="4299" priority="206" operator="notEqual">
      <formula>0</formula>
    </cfRule>
  </conditionalFormatting>
  <conditionalFormatting sqref="AH52">
    <cfRule type="cellIs" dxfId="4298" priority="203" operator="equal">
      <formula>0</formula>
    </cfRule>
    <cfRule type="cellIs" dxfId="4297" priority="204" operator="notEqual">
      <formula>0</formula>
    </cfRule>
  </conditionalFormatting>
  <conditionalFormatting sqref="AH55">
    <cfRule type="cellIs" dxfId="4296" priority="201" operator="equal">
      <formula>0</formula>
    </cfRule>
    <cfRule type="cellIs" dxfId="4295" priority="202" operator="notEqual">
      <formula>0</formula>
    </cfRule>
  </conditionalFormatting>
  <conditionalFormatting sqref="AI52">
    <cfRule type="cellIs" dxfId="4294" priority="199" operator="equal">
      <formula>0</formula>
    </cfRule>
    <cfRule type="cellIs" dxfId="4293" priority="200" operator="notEqual">
      <formula>0</formula>
    </cfRule>
  </conditionalFormatting>
  <conditionalFormatting sqref="AI55">
    <cfRule type="cellIs" dxfId="4292" priority="197" operator="equal">
      <formula>0</formula>
    </cfRule>
    <cfRule type="cellIs" dxfId="4291" priority="198" operator="notEqual">
      <formula>0</formula>
    </cfRule>
  </conditionalFormatting>
  <conditionalFormatting sqref="AJ52">
    <cfRule type="cellIs" dxfId="4290" priority="195" operator="equal">
      <formula>0</formula>
    </cfRule>
    <cfRule type="cellIs" dxfId="4289" priority="196" operator="notEqual">
      <formula>0</formula>
    </cfRule>
  </conditionalFormatting>
  <conditionalFormatting sqref="AJ55">
    <cfRule type="cellIs" dxfId="4288" priority="193" operator="equal">
      <formula>0</formula>
    </cfRule>
    <cfRule type="cellIs" dxfId="4287" priority="194" operator="notEqual">
      <formula>0</formula>
    </cfRule>
  </conditionalFormatting>
  <conditionalFormatting sqref="U46:U47">
    <cfRule type="cellIs" dxfId="4286" priority="191" operator="equal">
      <formula>0</formula>
    </cfRule>
    <cfRule type="cellIs" dxfId="4285" priority="192" operator="notEqual">
      <formula>0</formula>
    </cfRule>
  </conditionalFormatting>
  <conditionalFormatting sqref="V46:V47">
    <cfRule type="cellIs" dxfId="4284" priority="189" operator="equal">
      <formula>0</formula>
    </cfRule>
    <cfRule type="cellIs" dxfId="4283" priority="190" operator="notEqual">
      <formula>0</formula>
    </cfRule>
  </conditionalFormatting>
  <conditionalFormatting sqref="W46:W47">
    <cfRule type="cellIs" dxfId="4282" priority="187" operator="equal">
      <formula>0</formula>
    </cfRule>
    <cfRule type="cellIs" dxfId="4281" priority="188" operator="notEqual">
      <formula>0</formula>
    </cfRule>
  </conditionalFormatting>
  <conditionalFormatting sqref="X46:X47">
    <cfRule type="cellIs" dxfId="4280" priority="185" operator="equal">
      <formula>0</formula>
    </cfRule>
    <cfRule type="cellIs" dxfId="4279" priority="186" operator="notEqual">
      <formula>0</formula>
    </cfRule>
  </conditionalFormatting>
  <conditionalFormatting sqref="Y46:Y47">
    <cfRule type="cellIs" dxfId="4278" priority="183" operator="equal">
      <formula>0</formula>
    </cfRule>
    <cfRule type="cellIs" dxfId="4277" priority="184" operator="notEqual">
      <formula>0</formula>
    </cfRule>
  </conditionalFormatting>
  <conditionalFormatting sqref="Z46:Z47">
    <cfRule type="cellIs" dxfId="4276" priority="181" operator="equal">
      <formula>0</formula>
    </cfRule>
    <cfRule type="cellIs" dxfId="4275" priority="182" operator="notEqual">
      <formula>0</formula>
    </cfRule>
  </conditionalFormatting>
  <conditionalFormatting sqref="AA46:AA47">
    <cfRule type="cellIs" dxfId="4274" priority="179" operator="equal">
      <formula>0</formula>
    </cfRule>
    <cfRule type="cellIs" dxfId="4273" priority="180" operator="notEqual">
      <formula>0</formula>
    </cfRule>
  </conditionalFormatting>
  <conditionalFormatting sqref="AB46:AB47">
    <cfRule type="cellIs" dxfId="4272" priority="177" operator="equal">
      <formula>0</formula>
    </cfRule>
    <cfRule type="cellIs" dxfId="4271" priority="178" operator="notEqual">
      <formula>0</formula>
    </cfRule>
  </conditionalFormatting>
  <conditionalFormatting sqref="AG45">
    <cfRule type="cellIs" dxfId="4270" priority="175" operator="equal">
      <formula>0</formula>
    </cfRule>
    <cfRule type="cellIs" dxfId="4269" priority="176" operator="notEqual">
      <formula>0</formula>
    </cfRule>
  </conditionalFormatting>
  <conditionalFormatting sqref="AG48">
    <cfRule type="cellIs" dxfId="4268" priority="173" operator="equal">
      <formula>0</formula>
    </cfRule>
    <cfRule type="cellIs" dxfId="4267" priority="174" operator="notEqual">
      <formula>0</formula>
    </cfRule>
  </conditionalFormatting>
  <conditionalFormatting sqref="AH45">
    <cfRule type="cellIs" dxfId="4266" priority="171" operator="equal">
      <formula>0</formula>
    </cfRule>
    <cfRule type="cellIs" dxfId="4265" priority="172" operator="notEqual">
      <formula>0</formula>
    </cfRule>
  </conditionalFormatting>
  <conditionalFormatting sqref="AH48">
    <cfRule type="cellIs" dxfId="4264" priority="169" operator="equal">
      <formula>0</formula>
    </cfRule>
    <cfRule type="cellIs" dxfId="4263" priority="170" operator="notEqual">
      <formula>0</formula>
    </cfRule>
  </conditionalFormatting>
  <conditionalFormatting sqref="AI45">
    <cfRule type="cellIs" dxfId="4262" priority="167" operator="equal">
      <formula>0</formula>
    </cfRule>
    <cfRule type="cellIs" dxfId="4261" priority="168" operator="notEqual">
      <formula>0</formula>
    </cfRule>
  </conditionalFormatting>
  <conditionalFormatting sqref="AI48">
    <cfRule type="cellIs" dxfId="4260" priority="165" operator="equal">
      <formula>0</formula>
    </cfRule>
    <cfRule type="cellIs" dxfId="4259" priority="166" operator="notEqual">
      <formula>0</formula>
    </cfRule>
  </conditionalFormatting>
  <conditionalFormatting sqref="AJ45">
    <cfRule type="cellIs" dxfId="4258" priority="163" operator="equal">
      <formula>0</formula>
    </cfRule>
    <cfRule type="cellIs" dxfId="4257" priority="164" operator="notEqual">
      <formula>0</formula>
    </cfRule>
  </conditionalFormatting>
  <conditionalFormatting sqref="AJ48">
    <cfRule type="cellIs" dxfId="4256" priority="161" operator="equal">
      <formula>0</formula>
    </cfRule>
    <cfRule type="cellIs" dxfId="4255" priority="162" operator="notEqual">
      <formula>0</formula>
    </cfRule>
  </conditionalFormatting>
  <conditionalFormatting sqref="U39:U40">
    <cfRule type="cellIs" dxfId="4254" priority="159" operator="equal">
      <formula>0</formula>
    </cfRule>
    <cfRule type="cellIs" dxfId="4253" priority="160" operator="notEqual">
      <formula>0</formula>
    </cfRule>
  </conditionalFormatting>
  <conditionalFormatting sqref="V39:V40">
    <cfRule type="cellIs" dxfId="4252" priority="157" operator="equal">
      <formula>0</formula>
    </cfRule>
    <cfRule type="cellIs" dxfId="4251" priority="158" operator="notEqual">
      <formula>0</formula>
    </cfRule>
  </conditionalFormatting>
  <conditionalFormatting sqref="W39:W40">
    <cfRule type="cellIs" dxfId="4250" priority="155" operator="equal">
      <formula>0</formula>
    </cfRule>
    <cfRule type="cellIs" dxfId="4249" priority="156" operator="notEqual">
      <formula>0</formula>
    </cfRule>
  </conditionalFormatting>
  <conditionalFormatting sqref="X39:X40">
    <cfRule type="cellIs" dxfId="4248" priority="153" operator="equal">
      <formula>0</formula>
    </cfRule>
    <cfRule type="cellIs" dxfId="4247" priority="154" operator="notEqual">
      <formula>0</formula>
    </cfRule>
  </conditionalFormatting>
  <conditionalFormatting sqref="Y39:Y40">
    <cfRule type="cellIs" dxfId="4246" priority="151" operator="equal">
      <formula>0</formula>
    </cfRule>
    <cfRule type="cellIs" dxfId="4245" priority="152" operator="notEqual">
      <formula>0</formula>
    </cfRule>
  </conditionalFormatting>
  <conditionalFormatting sqref="Z39:Z40">
    <cfRule type="cellIs" dxfId="4244" priority="149" operator="equal">
      <formula>0</formula>
    </cfRule>
    <cfRule type="cellIs" dxfId="4243" priority="150" operator="notEqual">
      <formula>0</formula>
    </cfRule>
  </conditionalFormatting>
  <conditionalFormatting sqref="AA39:AA40">
    <cfRule type="cellIs" dxfId="4242" priority="147" operator="equal">
      <formula>0</formula>
    </cfRule>
    <cfRule type="cellIs" dxfId="4241" priority="148" operator="notEqual">
      <formula>0</formula>
    </cfRule>
  </conditionalFormatting>
  <conditionalFormatting sqref="AB39:AB40">
    <cfRule type="cellIs" dxfId="4240" priority="145" operator="equal">
      <formula>0</formula>
    </cfRule>
    <cfRule type="cellIs" dxfId="4239" priority="146" operator="notEqual">
      <formula>0</formula>
    </cfRule>
  </conditionalFormatting>
  <conditionalFormatting sqref="AG38">
    <cfRule type="cellIs" dxfId="4238" priority="143" operator="equal">
      <formula>0</formula>
    </cfRule>
    <cfRule type="cellIs" dxfId="4237" priority="144" operator="notEqual">
      <formula>0</formula>
    </cfRule>
  </conditionalFormatting>
  <conditionalFormatting sqref="AG41">
    <cfRule type="cellIs" dxfId="4236" priority="141" operator="equal">
      <formula>0</formula>
    </cfRule>
    <cfRule type="cellIs" dxfId="4235" priority="142" operator="notEqual">
      <formula>0</formula>
    </cfRule>
  </conditionalFormatting>
  <conditionalFormatting sqref="AH38">
    <cfRule type="cellIs" dxfId="4234" priority="139" operator="equal">
      <formula>0</formula>
    </cfRule>
    <cfRule type="cellIs" dxfId="4233" priority="140" operator="notEqual">
      <formula>0</formula>
    </cfRule>
  </conditionalFormatting>
  <conditionalFormatting sqref="AH41">
    <cfRule type="cellIs" dxfId="4232" priority="137" operator="equal">
      <formula>0</formula>
    </cfRule>
    <cfRule type="cellIs" dxfId="4231" priority="138" operator="notEqual">
      <formula>0</formula>
    </cfRule>
  </conditionalFormatting>
  <conditionalFormatting sqref="AI38">
    <cfRule type="cellIs" dxfId="4230" priority="135" operator="equal">
      <formula>0</formula>
    </cfRule>
    <cfRule type="cellIs" dxfId="4229" priority="136" operator="notEqual">
      <formula>0</formula>
    </cfRule>
  </conditionalFormatting>
  <conditionalFormatting sqref="AI41">
    <cfRule type="cellIs" dxfId="4228" priority="133" operator="equal">
      <formula>0</formula>
    </cfRule>
    <cfRule type="cellIs" dxfId="4227" priority="134" operator="notEqual">
      <formula>0</formula>
    </cfRule>
  </conditionalFormatting>
  <conditionalFormatting sqref="AJ38">
    <cfRule type="cellIs" dxfId="4226" priority="131" operator="equal">
      <formula>0</formula>
    </cfRule>
    <cfRule type="cellIs" dxfId="4225" priority="132" operator="notEqual">
      <formula>0</formula>
    </cfRule>
  </conditionalFormatting>
  <conditionalFormatting sqref="AJ41">
    <cfRule type="cellIs" dxfId="4224" priority="129" operator="equal">
      <formula>0</formula>
    </cfRule>
    <cfRule type="cellIs" dxfId="4223" priority="130" operator="notEqual">
      <formula>0</formula>
    </cfRule>
  </conditionalFormatting>
  <conditionalFormatting sqref="U32:U33">
    <cfRule type="cellIs" dxfId="4222" priority="127" operator="equal">
      <formula>0</formula>
    </cfRule>
    <cfRule type="cellIs" dxfId="4221" priority="128" operator="notEqual">
      <formula>0</formula>
    </cfRule>
  </conditionalFormatting>
  <conditionalFormatting sqref="V32:V33">
    <cfRule type="cellIs" dxfId="4220" priority="125" operator="equal">
      <formula>0</formula>
    </cfRule>
    <cfRule type="cellIs" dxfId="4219" priority="126" operator="notEqual">
      <formula>0</formula>
    </cfRule>
  </conditionalFormatting>
  <conditionalFormatting sqref="W32:W33">
    <cfRule type="cellIs" dxfId="4218" priority="123" operator="equal">
      <formula>0</formula>
    </cfRule>
    <cfRule type="cellIs" dxfId="4217" priority="124" operator="notEqual">
      <formula>0</formula>
    </cfRule>
  </conditionalFormatting>
  <conditionalFormatting sqref="X32:X33">
    <cfRule type="cellIs" dxfId="4216" priority="121" operator="equal">
      <formula>0</formula>
    </cfRule>
    <cfRule type="cellIs" dxfId="4215" priority="122" operator="notEqual">
      <formula>0</formula>
    </cfRule>
  </conditionalFormatting>
  <conditionalFormatting sqref="Y32:Y33">
    <cfRule type="cellIs" dxfId="4214" priority="119" operator="equal">
      <formula>0</formula>
    </cfRule>
    <cfRule type="cellIs" dxfId="4213" priority="120" operator="notEqual">
      <formula>0</formula>
    </cfRule>
  </conditionalFormatting>
  <conditionalFormatting sqref="Z32:Z33">
    <cfRule type="cellIs" dxfId="4212" priority="117" operator="equal">
      <formula>0</formula>
    </cfRule>
    <cfRule type="cellIs" dxfId="4211" priority="118" operator="notEqual">
      <formula>0</formula>
    </cfRule>
  </conditionalFormatting>
  <conditionalFormatting sqref="AA32:AA33">
    <cfRule type="cellIs" dxfId="4210" priority="115" operator="equal">
      <formula>0</formula>
    </cfRule>
    <cfRule type="cellIs" dxfId="4209" priority="116" operator="notEqual">
      <formula>0</formula>
    </cfRule>
  </conditionalFormatting>
  <conditionalFormatting sqref="AB32:AB33">
    <cfRule type="cellIs" dxfId="4208" priority="113" operator="equal">
      <formula>0</formula>
    </cfRule>
    <cfRule type="cellIs" dxfId="4207" priority="114" operator="notEqual">
      <formula>0</formula>
    </cfRule>
  </conditionalFormatting>
  <conditionalFormatting sqref="AG31">
    <cfRule type="cellIs" dxfId="4206" priority="111" operator="equal">
      <formula>0</formula>
    </cfRule>
    <cfRule type="cellIs" dxfId="4205" priority="112" operator="notEqual">
      <formula>0</formula>
    </cfRule>
  </conditionalFormatting>
  <conditionalFormatting sqref="AG34">
    <cfRule type="cellIs" dxfId="4204" priority="109" operator="equal">
      <formula>0</formula>
    </cfRule>
    <cfRule type="cellIs" dxfId="4203" priority="110" operator="notEqual">
      <formula>0</formula>
    </cfRule>
  </conditionalFormatting>
  <conditionalFormatting sqref="AH31">
    <cfRule type="cellIs" dxfId="4202" priority="107" operator="equal">
      <formula>0</formula>
    </cfRule>
    <cfRule type="cellIs" dxfId="4201" priority="108" operator="notEqual">
      <formula>0</formula>
    </cfRule>
  </conditionalFormatting>
  <conditionalFormatting sqref="AH34">
    <cfRule type="cellIs" dxfId="4200" priority="105" operator="equal">
      <formula>0</formula>
    </cfRule>
    <cfRule type="cellIs" dxfId="4199" priority="106" operator="notEqual">
      <formula>0</formula>
    </cfRule>
  </conditionalFormatting>
  <conditionalFormatting sqref="AI31">
    <cfRule type="cellIs" dxfId="4198" priority="103" operator="equal">
      <formula>0</formula>
    </cfRule>
    <cfRule type="cellIs" dxfId="4197" priority="104" operator="notEqual">
      <formula>0</formula>
    </cfRule>
  </conditionalFormatting>
  <conditionalFormatting sqref="AI34">
    <cfRule type="cellIs" dxfId="4196" priority="101" operator="equal">
      <formula>0</formula>
    </cfRule>
    <cfRule type="cellIs" dxfId="4195" priority="102" operator="notEqual">
      <formula>0</formula>
    </cfRule>
  </conditionalFormatting>
  <conditionalFormatting sqref="AJ31">
    <cfRule type="cellIs" dxfId="4194" priority="99" operator="equal">
      <formula>0</formula>
    </cfRule>
    <cfRule type="cellIs" dxfId="4193" priority="100" operator="notEqual">
      <formula>0</formula>
    </cfRule>
  </conditionalFormatting>
  <conditionalFormatting sqref="AJ34">
    <cfRule type="cellIs" dxfId="4192" priority="97" operator="equal">
      <formula>0</formula>
    </cfRule>
    <cfRule type="cellIs" dxfId="4191" priority="98" operator="notEqual">
      <formula>0</formula>
    </cfRule>
  </conditionalFormatting>
  <conditionalFormatting sqref="U25:U26">
    <cfRule type="cellIs" dxfId="4190" priority="95" operator="equal">
      <formula>0</formula>
    </cfRule>
    <cfRule type="cellIs" dxfId="4189" priority="96" operator="notEqual">
      <formula>0</formula>
    </cfRule>
  </conditionalFormatting>
  <conditionalFormatting sqref="V25:V26">
    <cfRule type="cellIs" dxfId="4188" priority="93" operator="equal">
      <formula>0</formula>
    </cfRule>
    <cfRule type="cellIs" dxfId="4187" priority="94" operator="notEqual">
      <formula>0</formula>
    </cfRule>
  </conditionalFormatting>
  <conditionalFormatting sqref="W25:W26">
    <cfRule type="cellIs" dxfId="4186" priority="91" operator="equal">
      <formula>0</formula>
    </cfRule>
    <cfRule type="cellIs" dxfId="4185" priority="92" operator="notEqual">
      <formula>0</formula>
    </cfRule>
  </conditionalFormatting>
  <conditionalFormatting sqref="X25:X26">
    <cfRule type="cellIs" dxfId="4184" priority="89" operator="equal">
      <formula>0</formula>
    </cfRule>
    <cfRule type="cellIs" dxfId="4183" priority="90" operator="notEqual">
      <formula>0</formula>
    </cfRule>
  </conditionalFormatting>
  <conditionalFormatting sqref="Y25:Y26">
    <cfRule type="cellIs" dxfId="4182" priority="87" operator="equal">
      <formula>0</formula>
    </cfRule>
    <cfRule type="cellIs" dxfId="4181" priority="88" operator="notEqual">
      <formula>0</formula>
    </cfRule>
  </conditionalFormatting>
  <conditionalFormatting sqref="Z25:Z26">
    <cfRule type="cellIs" dxfId="4180" priority="85" operator="equal">
      <formula>0</formula>
    </cfRule>
    <cfRule type="cellIs" dxfId="4179" priority="86" operator="notEqual">
      <formula>0</formula>
    </cfRule>
  </conditionalFormatting>
  <conditionalFormatting sqref="AA25:AA26">
    <cfRule type="cellIs" dxfId="4178" priority="83" operator="equal">
      <formula>0</formula>
    </cfRule>
    <cfRule type="cellIs" dxfId="4177" priority="84" operator="notEqual">
      <formula>0</formula>
    </cfRule>
  </conditionalFormatting>
  <conditionalFormatting sqref="AB25:AB26">
    <cfRule type="cellIs" dxfId="4176" priority="81" operator="equal">
      <formula>0</formula>
    </cfRule>
    <cfRule type="cellIs" dxfId="4175" priority="82" operator="notEqual">
      <formula>0</formula>
    </cfRule>
  </conditionalFormatting>
  <conditionalFormatting sqref="AG24">
    <cfRule type="cellIs" dxfId="4174" priority="79" operator="equal">
      <formula>0</formula>
    </cfRule>
    <cfRule type="cellIs" dxfId="4173" priority="80" operator="notEqual">
      <formula>0</formula>
    </cfRule>
  </conditionalFormatting>
  <conditionalFormatting sqref="AG27">
    <cfRule type="cellIs" dxfId="4172" priority="77" operator="equal">
      <formula>0</formula>
    </cfRule>
    <cfRule type="cellIs" dxfId="4171" priority="78" operator="notEqual">
      <formula>0</formula>
    </cfRule>
  </conditionalFormatting>
  <conditionalFormatting sqref="AH24">
    <cfRule type="cellIs" dxfId="4170" priority="75" operator="equal">
      <formula>0</formula>
    </cfRule>
    <cfRule type="cellIs" dxfId="4169" priority="76" operator="notEqual">
      <formula>0</formula>
    </cfRule>
  </conditionalFormatting>
  <conditionalFormatting sqref="AH27">
    <cfRule type="cellIs" dxfId="4168" priority="73" operator="equal">
      <formula>0</formula>
    </cfRule>
    <cfRule type="cellIs" dxfId="4167" priority="74" operator="notEqual">
      <formula>0</formula>
    </cfRule>
  </conditionalFormatting>
  <conditionalFormatting sqref="AI24">
    <cfRule type="cellIs" dxfId="4166" priority="71" operator="equal">
      <formula>0</formula>
    </cfRule>
    <cfRule type="cellIs" dxfId="4165" priority="72" operator="notEqual">
      <formula>0</formula>
    </cfRule>
  </conditionalFormatting>
  <conditionalFormatting sqref="AI27">
    <cfRule type="cellIs" dxfId="4164" priority="69" operator="equal">
      <formula>0</formula>
    </cfRule>
    <cfRule type="cellIs" dxfId="4163" priority="70" operator="notEqual">
      <formula>0</formula>
    </cfRule>
  </conditionalFormatting>
  <conditionalFormatting sqref="AJ24">
    <cfRule type="cellIs" dxfId="4162" priority="67" operator="equal">
      <formula>0</formula>
    </cfRule>
    <cfRule type="cellIs" dxfId="4161" priority="68" operator="notEqual">
      <formula>0</formula>
    </cfRule>
  </conditionalFormatting>
  <conditionalFormatting sqref="AJ27">
    <cfRule type="cellIs" dxfId="4160" priority="65" operator="equal">
      <formula>0</formula>
    </cfRule>
    <cfRule type="cellIs" dxfId="4159" priority="66" operator="notEqual">
      <formula>0</formula>
    </cfRule>
  </conditionalFormatting>
  <conditionalFormatting sqref="U18:U19">
    <cfRule type="cellIs" dxfId="4158" priority="63" operator="equal">
      <formula>0</formula>
    </cfRule>
    <cfRule type="cellIs" dxfId="4157" priority="64" operator="notEqual">
      <formula>0</formula>
    </cfRule>
  </conditionalFormatting>
  <conditionalFormatting sqref="V18:V19">
    <cfRule type="cellIs" dxfId="4156" priority="61" operator="equal">
      <formula>0</formula>
    </cfRule>
    <cfRule type="cellIs" dxfId="4155" priority="62" operator="notEqual">
      <formula>0</formula>
    </cfRule>
  </conditionalFormatting>
  <conditionalFormatting sqref="W18:W19">
    <cfRule type="cellIs" dxfId="4154" priority="59" operator="equal">
      <formula>0</formula>
    </cfRule>
    <cfRule type="cellIs" dxfId="4153" priority="60" operator="notEqual">
      <formula>0</formula>
    </cfRule>
  </conditionalFormatting>
  <conditionalFormatting sqref="X18:X19">
    <cfRule type="cellIs" dxfId="4152" priority="57" operator="equal">
      <formula>0</formula>
    </cfRule>
    <cfRule type="cellIs" dxfId="4151" priority="58" operator="notEqual">
      <formula>0</formula>
    </cfRule>
  </conditionalFormatting>
  <conditionalFormatting sqref="Y18:Y19">
    <cfRule type="cellIs" dxfId="4150" priority="55" operator="equal">
      <formula>0</formula>
    </cfRule>
    <cfRule type="cellIs" dxfId="4149" priority="56" operator="notEqual">
      <formula>0</formula>
    </cfRule>
  </conditionalFormatting>
  <conditionalFormatting sqref="Z18:Z19">
    <cfRule type="cellIs" dxfId="4148" priority="53" operator="equal">
      <formula>0</formula>
    </cfRule>
    <cfRule type="cellIs" dxfId="4147" priority="54" operator="notEqual">
      <formula>0</formula>
    </cfRule>
  </conditionalFormatting>
  <conditionalFormatting sqref="AA18:AA19">
    <cfRule type="cellIs" dxfId="4146" priority="51" operator="equal">
      <formula>0</formula>
    </cfRule>
    <cfRule type="cellIs" dxfId="4145" priority="52" operator="notEqual">
      <formula>0</formula>
    </cfRule>
  </conditionalFormatting>
  <conditionalFormatting sqref="AB18:AB19">
    <cfRule type="cellIs" dxfId="4144" priority="49" operator="equal">
      <formula>0</formula>
    </cfRule>
    <cfRule type="cellIs" dxfId="4143" priority="50" operator="notEqual">
      <formula>0</formula>
    </cfRule>
  </conditionalFormatting>
  <conditionalFormatting sqref="AG17">
    <cfRule type="cellIs" dxfId="4142" priority="47" operator="equal">
      <formula>0</formula>
    </cfRule>
    <cfRule type="cellIs" dxfId="4141" priority="48" operator="notEqual">
      <formula>0</formula>
    </cfRule>
  </conditionalFormatting>
  <conditionalFormatting sqref="AG20">
    <cfRule type="cellIs" dxfId="4140" priority="45" operator="equal">
      <formula>0</formula>
    </cfRule>
    <cfRule type="cellIs" dxfId="4139" priority="46" operator="notEqual">
      <formula>0</formula>
    </cfRule>
  </conditionalFormatting>
  <conditionalFormatting sqref="AH17">
    <cfRule type="cellIs" dxfId="4138" priority="43" operator="equal">
      <formula>0</formula>
    </cfRule>
    <cfRule type="cellIs" dxfId="4137" priority="44" operator="notEqual">
      <formula>0</formula>
    </cfRule>
  </conditionalFormatting>
  <conditionalFormatting sqref="AH20">
    <cfRule type="cellIs" dxfId="4136" priority="41" operator="equal">
      <formula>0</formula>
    </cfRule>
    <cfRule type="cellIs" dxfId="4135" priority="42" operator="notEqual">
      <formula>0</formula>
    </cfRule>
  </conditionalFormatting>
  <conditionalFormatting sqref="AI17">
    <cfRule type="cellIs" dxfId="4134" priority="39" operator="equal">
      <formula>0</formula>
    </cfRule>
    <cfRule type="cellIs" dxfId="4133" priority="40" operator="notEqual">
      <formula>0</formula>
    </cfRule>
  </conditionalFormatting>
  <conditionalFormatting sqref="AI20">
    <cfRule type="cellIs" dxfId="4132" priority="37" operator="equal">
      <formula>0</formula>
    </cfRule>
    <cfRule type="cellIs" dxfId="4131" priority="38" operator="notEqual">
      <formula>0</formula>
    </cfRule>
  </conditionalFormatting>
  <conditionalFormatting sqref="AJ17">
    <cfRule type="cellIs" dxfId="4130" priority="35" operator="equal">
      <formula>0</formula>
    </cfRule>
    <cfRule type="cellIs" dxfId="4129" priority="36" operator="notEqual">
      <formula>0</formula>
    </cfRule>
  </conditionalFormatting>
  <conditionalFormatting sqref="AJ20">
    <cfRule type="cellIs" dxfId="4128" priority="33" operator="equal">
      <formula>0</formula>
    </cfRule>
    <cfRule type="cellIs" dxfId="4127" priority="34" operator="notEqual">
      <formula>0</formula>
    </cfRule>
  </conditionalFormatting>
  <conditionalFormatting sqref="U11:U12">
    <cfRule type="cellIs" dxfId="4126" priority="31" operator="equal">
      <formula>0</formula>
    </cfRule>
    <cfRule type="cellIs" dxfId="4125" priority="32" operator="notEqual">
      <formula>0</formula>
    </cfRule>
  </conditionalFormatting>
  <conditionalFormatting sqref="V11:V12">
    <cfRule type="cellIs" dxfId="4124" priority="29" operator="equal">
      <formula>0</formula>
    </cfRule>
    <cfRule type="cellIs" dxfId="4123" priority="30" operator="notEqual">
      <formula>0</formula>
    </cfRule>
  </conditionalFormatting>
  <conditionalFormatting sqref="W11:W12">
    <cfRule type="cellIs" dxfId="4122" priority="27" operator="equal">
      <formula>0</formula>
    </cfRule>
    <cfRule type="cellIs" dxfId="4121" priority="28" operator="notEqual">
      <formula>0</formula>
    </cfRule>
  </conditionalFormatting>
  <conditionalFormatting sqref="X11:X12">
    <cfRule type="cellIs" dxfId="4120" priority="25" operator="equal">
      <formula>0</formula>
    </cfRule>
    <cfRule type="cellIs" dxfId="4119" priority="26" operator="notEqual">
      <formula>0</formula>
    </cfRule>
  </conditionalFormatting>
  <conditionalFormatting sqref="Y11:Y12">
    <cfRule type="cellIs" dxfId="4118" priority="23" operator="equal">
      <formula>0</formula>
    </cfRule>
    <cfRule type="cellIs" dxfId="4117" priority="24" operator="notEqual">
      <formula>0</formula>
    </cfRule>
  </conditionalFormatting>
  <conditionalFormatting sqref="Z11:Z12">
    <cfRule type="cellIs" dxfId="4116" priority="21" operator="equal">
      <formula>0</formula>
    </cfRule>
    <cfRule type="cellIs" dxfId="4115" priority="22" operator="notEqual">
      <formula>0</formula>
    </cfRule>
  </conditionalFormatting>
  <conditionalFormatting sqref="AA11:AA12">
    <cfRule type="cellIs" dxfId="4114" priority="19" operator="equal">
      <formula>0</formula>
    </cfRule>
    <cfRule type="cellIs" dxfId="4113" priority="20" operator="notEqual">
      <formula>0</formula>
    </cfRule>
  </conditionalFormatting>
  <conditionalFormatting sqref="AB11:AB12">
    <cfRule type="cellIs" dxfId="4112" priority="17" operator="equal">
      <formula>0</formula>
    </cfRule>
    <cfRule type="cellIs" dxfId="4111" priority="18" operator="notEqual">
      <formula>0</formula>
    </cfRule>
  </conditionalFormatting>
  <conditionalFormatting sqref="AG10">
    <cfRule type="cellIs" dxfId="4110" priority="15" operator="equal">
      <formula>0</formula>
    </cfRule>
    <cfRule type="cellIs" dxfId="4109" priority="16" operator="notEqual">
      <formula>0</formula>
    </cfRule>
  </conditionalFormatting>
  <conditionalFormatting sqref="AG13">
    <cfRule type="cellIs" dxfId="4108" priority="13" operator="equal">
      <formula>0</formula>
    </cfRule>
    <cfRule type="cellIs" dxfId="4107" priority="14" operator="notEqual">
      <formula>0</formula>
    </cfRule>
  </conditionalFormatting>
  <conditionalFormatting sqref="AH10">
    <cfRule type="cellIs" dxfId="4106" priority="11" operator="equal">
      <formula>0</formula>
    </cfRule>
    <cfRule type="cellIs" dxfId="4105" priority="12" operator="notEqual">
      <formula>0</formula>
    </cfRule>
  </conditionalFormatting>
  <conditionalFormatting sqref="AH13">
    <cfRule type="cellIs" dxfId="4104" priority="9" operator="equal">
      <formula>0</formula>
    </cfRule>
    <cfRule type="cellIs" dxfId="4103" priority="10" operator="notEqual">
      <formula>0</formula>
    </cfRule>
  </conditionalFormatting>
  <conditionalFormatting sqref="AI10">
    <cfRule type="cellIs" dxfId="4102" priority="7" operator="equal">
      <formula>0</formula>
    </cfRule>
    <cfRule type="cellIs" dxfId="4101" priority="8" operator="notEqual">
      <formula>0</formula>
    </cfRule>
  </conditionalFormatting>
  <conditionalFormatting sqref="AI13">
    <cfRule type="cellIs" dxfId="4100" priority="5" operator="equal">
      <formula>0</formula>
    </cfRule>
    <cfRule type="cellIs" dxfId="4099" priority="6" operator="notEqual">
      <formula>0</formula>
    </cfRule>
  </conditionalFormatting>
  <conditionalFormatting sqref="AJ10">
    <cfRule type="cellIs" dxfId="4098" priority="3" operator="equal">
      <formula>0</formula>
    </cfRule>
    <cfRule type="cellIs" dxfId="4097" priority="4" operator="notEqual">
      <formula>0</formula>
    </cfRule>
  </conditionalFormatting>
  <conditionalFormatting sqref="AJ13">
    <cfRule type="cellIs" dxfId="4096" priority="1" operator="equal">
      <formula>0</formula>
    </cfRule>
    <cfRule type="cellIs" dxfId="4095"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P22" sqref="P22:R22"/>
    </sheetView>
  </sheetViews>
  <sheetFormatPr defaultColWidth="9.140625" defaultRowHeight="15" x14ac:dyDescent="0.25"/>
  <cols>
    <col min="1" max="1" width="2.140625" customWidth="1"/>
    <col min="2" max="2" width="36.140625" customWidth="1"/>
    <col min="20" max="20" width="33" customWidth="1"/>
  </cols>
  <sheetData>
    <row r="1" spans="1:50" ht="60.75" customHeight="1" x14ac:dyDescent="0.25">
      <c r="A1" s="485" t="s">
        <v>1125</v>
      </c>
      <c r="B1" s="485"/>
      <c r="C1" s="485"/>
      <c r="D1" s="485"/>
      <c r="E1" s="485"/>
      <c r="F1" s="485"/>
      <c r="G1" s="485"/>
      <c r="H1" s="485"/>
      <c r="I1" s="485"/>
      <c r="J1" s="485"/>
      <c r="K1" s="485"/>
      <c r="L1" s="485"/>
      <c r="M1" s="485"/>
      <c r="N1" s="485"/>
      <c r="O1" s="485"/>
      <c r="P1" s="485"/>
      <c r="Q1" s="485"/>
      <c r="R1" s="485"/>
      <c r="S1" s="485"/>
      <c r="T1" s="485"/>
      <c r="U1" s="485"/>
      <c r="V1" s="485"/>
      <c r="W1" s="485"/>
      <c r="X1" s="485"/>
      <c r="Y1" s="485"/>
      <c r="Z1" s="485"/>
      <c r="AA1" s="485"/>
      <c r="AB1" s="485"/>
      <c r="AC1" s="485"/>
      <c r="AD1" s="485"/>
      <c r="AE1" s="485"/>
      <c r="AF1" s="485"/>
      <c r="AG1" s="485"/>
      <c r="AH1" s="485"/>
      <c r="AI1" s="485"/>
      <c r="AJ1" s="485"/>
      <c r="AK1" s="257"/>
      <c r="AL1" s="257"/>
      <c r="AM1" s="257"/>
      <c r="AN1" s="257"/>
      <c r="AO1" s="257"/>
      <c r="AP1" s="257"/>
      <c r="AQ1" s="257"/>
      <c r="AR1" s="257"/>
      <c r="AS1" s="257"/>
      <c r="AT1" s="257"/>
      <c r="AU1" s="257"/>
      <c r="AV1" s="257"/>
      <c r="AW1" s="257"/>
      <c r="AX1" s="257"/>
    </row>
    <row r="2" spans="1:50" ht="48" customHeight="1" x14ac:dyDescent="0.25">
      <c r="A2" s="430"/>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2"/>
      <c r="AL2" s="262"/>
      <c r="AM2" s="262"/>
      <c r="AN2" s="262"/>
      <c r="AO2" s="262"/>
      <c r="AP2" s="262"/>
      <c r="AQ2" s="262"/>
      <c r="AR2" s="262"/>
      <c r="AS2" s="262"/>
      <c r="AT2" s="262"/>
      <c r="AU2" s="262"/>
      <c r="AV2" s="262"/>
      <c r="AW2" s="262"/>
      <c r="AX2" s="262"/>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25">
      <c r="B4" s="36" t="s">
        <v>957</v>
      </c>
    </row>
    <row r="5" spans="1:50" ht="27" customHeight="1" x14ac:dyDescent="0.25">
      <c r="B5" s="242" t="s">
        <v>17</v>
      </c>
      <c r="P5" s="40"/>
    </row>
    <row r="6" spans="1:50" x14ac:dyDescent="0.25">
      <c r="B6" s="46"/>
    </row>
    <row r="8" spans="1:50" ht="28.5" customHeight="1" x14ac:dyDescent="0.25">
      <c r="B8" s="290" t="str">
        <f>HLOOKUP($B$5,Region_Table,2,0)</f>
        <v>All East Midlands Region</v>
      </c>
      <c r="C8" s="528" t="s">
        <v>1126</v>
      </c>
      <c r="D8" s="529"/>
      <c r="E8" s="529"/>
      <c r="F8" s="529"/>
      <c r="G8" s="529"/>
      <c r="H8" s="529"/>
      <c r="I8" s="529"/>
      <c r="J8" s="529"/>
      <c r="K8" s="529"/>
      <c r="L8" s="529"/>
      <c r="M8" s="530"/>
      <c r="N8" s="530"/>
      <c r="O8" s="531"/>
      <c r="P8" s="515">
        <f>SUMIF('caseload data'!C:C,'divisional &amp; regional caseload%'!B8,'caseload data'!V:V)</f>
        <v>0</v>
      </c>
      <c r="Q8" s="532"/>
      <c r="R8" s="533"/>
      <c r="S8" s="64"/>
      <c r="T8" s="290" t="str">
        <f>HLOOKUP($B$5,Region_Table,3,0)</f>
        <v>Derby City - N53</v>
      </c>
      <c r="U8" s="528" t="s">
        <v>1126</v>
      </c>
      <c r="V8" s="529"/>
      <c r="W8" s="529"/>
      <c r="X8" s="529"/>
      <c r="Y8" s="529"/>
      <c r="Z8" s="529"/>
      <c r="AA8" s="529"/>
      <c r="AB8" s="529"/>
      <c r="AC8" s="529"/>
      <c r="AD8" s="529"/>
      <c r="AE8" s="530"/>
      <c r="AF8" s="530"/>
      <c r="AG8" s="531"/>
      <c r="AH8" s="515">
        <f>SUMIF('caseload data'!C:C,'divisional &amp; regional caseload%'!T8,'caseload data'!V:V)</f>
        <v>0</v>
      </c>
      <c r="AI8" s="532"/>
      <c r="AJ8" s="533"/>
    </row>
    <row r="9" spans="1:50" x14ac:dyDescent="0.25">
      <c r="B9" s="95" t="s">
        <v>1023</v>
      </c>
      <c r="C9" s="38" t="s">
        <v>879</v>
      </c>
      <c r="D9" s="38" t="s">
        <v>880</v>
      </c>
      <c r="E9" s="38" t="s">
        <v>881</v>
      </c>
      <c r="F9" s="38" t="s">
        <v>882</v>
      </c>
      <c r="G9" s="38" t="s">
        <v>883</v>
      </c>
      <c r="H9" s="38" t="s">
        <v>884</v>
      </c>
      <c r="I9" s="38" t="s">
        <v>885</v>
      </c>
      <c r="J9" s="38" t="s">
        <v>886</v>
      </c>
      <c r="K9" s="38" t="s">
        <v>887</v>
      </c>
      <c r="L9" s="38" t="s">
        <v>888</v>
      </c>
      <c r="M9" s="38" t="s">
        <v>889</v>
      </c>
      <c r="N9" s="38" t="s">
        <v>890</v>
      </c>
      <c r="O9" s="38" t="s">
        <v>891</v>
      </c>
      <c r="P9" s="38" t="s">
        <v>892</v>
      </c>
      <c r="Q9" s="38" t="s">
        <v>893</v>
      </c>
      <c r="R9" s="38" t="s">
        <v>894</v>
      </c>
      <c r="S9" s="64"/>
      <c r="T9" s="95" t="s">
        <v>1023</v>
      </c>
      <c r="U9" s="38" t="s">
        <v>879</v>
      </c>
      <c r="V9" s="38" t="s">
        <v>880</v>
      </c>
      <c r="W9" s="38" t="s">
        <v>881</v>
      </c>
      <c r="X9" s="38" t="s">
        <v>882</v>
      </c>
      <c r="Y9" s="38" t="s">
        <v>883</v>
      </c>
      <c r="Z9" s="38" t="s">
        <v>884</v>
      </c>
      <c r="AA9" s="38" t="s">
        <v>885</v>
      </c>
      <c r="AB9" s="38" t="s">
        <v>886</v>
      </c>
      <c r="AC9" s="38" t="s">
        <v>887</v>
      </c>
      <c r="AD9" s="38" t="s">
        <v>888</v>
      </c>
      <c r="AE9" s="38" t="s">
        <v>889</v>
      </c>
      <c r="AF9" s="38" t="s">
        <v>890</v>
      </c>
      <c r="AG9" s="38" t="s">
        <v>891</v>
      </c>
      <c r="AH9" s="38" t="s">
        <v>892</v>
      </c>
      <c r="AI9" s="38" t="s">
        <v>893</v>
      </c>
      <c r="AJ9" s="38" t="s">
        <v>894</v>
      </c>
    </row>
    <row r="10" spans="1:50" x14ac:dyDescent="0.25">
      <c r="B10" s="96" t="s">
        <v>1019</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1019</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25">
      <c r="B11" s="97" t="s">
        <v>1024</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1024</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25">
      <c r="B12" s="97" t="s">
        <v>1025</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1025</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25">
      <c r="B13" s="98" t="s">
        <v>1026</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1026</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25">
      <c r="B15" s="290" t="str">
        <f>HLOOKUP($B$5,Region_Table,4,0)</f>
        <v>Derbyshire - N53</v>
      </c>
      <c r="C15" s="528" t="s">
        <v>1126</v>
      </c>
      <c r="D15" s="529"/>
      <c r="E15" s="529"/>
      <c r="F15" s="529"/>
      <c r="G15" s="529"/>
      <c r="H15" s="529"/>
      <c r="I15" s="529"/>
      <c r="J15" s="529"/>
      <c r="K15" s="529"/>
      <c r="L15" s="529"/>
      <c r="M15" s="530"/>
      <c r="N15" s="530"/>
      <c r="O15" s="531"/>
      <c r="P15" s="515">
        <f>SUMIF('caseload data'!$C:$C,'divisional &amp; regional caseload%'!B15,'caseload data'!V:V)</f>
        <v>0</v>
      </c>
      <c r="Q15" s="532"/>
      <c r="R15" s="533"/>
      <c r="S15" s="64"/>
      <c r="T15" s="290" t="str">
        <f>HLOOKUP($B$5,Region_Table,5,0)</f>
        <v>Leicester, Leicestershire and Rutland</v>
      </c>
      <c r="U15" s="528" t="s">
        <v>1126</v>
      </c>
      <c r="V15" s="529"/>
      <c r="W15" s="529"/>
      <c r="X15" s="529"/>
      <c r="Y15" s="529"/>
      <c r="Z15" s="529"/>
      <c r="AA15" s="529"/>
      <c r="AB15" s="529"/>
      <c r="AC15" s="529"/>
      <c r="AD15" s="529"/>
      <c r="AE15" s="530"/>
      <c r="AF15" s="530"/>
      <c r="AG15" s="531"/>
      <c r="AH15" s="515">
        <f>SUMIF('caseload data'!$C:$C,'divisional &amp; regional caseload%'!T15,'caseload data'!V:V)</f>
        <v>0</v>
      </c>
      <c r="AI15" s="532"/>
      <c r="AJ15" s="533"/>
    </row>
    <row r="16" spans="1:50" x14ac:dyDescent="0.25">
      <c r="B16" s="95" t="s">
        <v>1023</v>
      </c>
      <c r="C16" s="38" t="s">
        <v>879</v>
      </c>
      <c r="D16" s="38" t="s">
        <v>880</v>
      </c>
      <c r="E16" s="38" t="s">
        <v>881</v>
      </c>
      <c r="F16" s="38" t="s">
        <v>882</v>
      </c>
      <c r="G16" s="38" t="s">
        <v>883</v>
      </c>
      <c r="H16" s="38" t="s">
        <v>884</v>
      </c>
      <c r="I16" s="38" t="s">
        <v>885</v>
      </c>
      <c r="J16" s="38" t="s">
        <v>886</v>
      </c>
      <c r="K16" s="38" t="s">
        <v>887</v>
      </c>
      <c r="L16" s="38" t="s">
        <v>888</v>
      </c>
      <c r="M16" s="38" t="s">
        <v>889</v>
      </c>
      <c r="N16" s="38" t="s">
        <v>890</v>
      </c>
      <c r="O16" s="38" t="s">
        <v>891</v>
      </c>
      <c r="P16" s="38" t="s">
        <v>892</v>
      </c>
      <c r="Q16" s="38" t="s">
        <v>893</v>
      </c>
      <c r="R16" s="38" t="s">
        <v>894</v>
      </c>
      <c r="S16" s="64"/>
      <c r="T16" s="95" t="s">
        <v>1023</v>
      </c>
      <c r="U16" s="38" t="s">
        <v>879</v>
      </c>
      <c r="V16" s="38" t="s">
        <v>880</v>
      </c>
      <c r="W16" s="38" t="s">
        <v>881</v>
      </c>
      <c r="X16" s="38" t="s">
        <v>882</v>
      </c>
      <c r="Y16" s="38" t="s">
        <v>883</v>
      </c>
      <c r="Z16" s="38" t="s">
        <v>884</v>
      </c>
      <c r="AA16" s="38" t="s">
        <v>885</v>
      </c>
      <c r="AB16" s="38" t="s">
        <v>886</v>
      </c>
      <c r="AC16" s="38" t="s">
        <v>887</v>
      </c>
      <c r="AD16" s="38" t="s">
        <v>888</v>
      </c>
      <c r="AE16" s="38" t="s">
        <v>889</v>
      </c>
      <c r="AF16" s="38" t="s">
        <v>890</v>
      </c>
      <c r="AG16" s="38" t="s">
        <v>891</v>
      </c>
      <c r="AH16" s="38" t="s">
        <v>892</v>
      </c>
      <c r="AI16" s="38" t="s">
        <v>893</v>
      </c>
      <c r="AJ16" s="38" t="s">
        <v>894</v>
      </c>
    </row>
    <row r="17" spans="2:36" x14ac:dyDescent="0.25">
      <c r="B17" s="96" t="s">
        <v>1019</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1019</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25">
      <c r="B18" s="97" t="s">
        <v>1024</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1024</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25">
      <c r="B19" s="97" t="s">
        <v>1025</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1025</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25">
      <c r="B20" s="98" t="s">
        <v>1026</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1026</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25">
      <c r="B22" s="290" t="str">
        <f>HLOOKUP($B$5,Region_Table,6,0)</f>
        <v>Lincolnshire East and West - N53</v>
      </c>
      <c r="C22" s="528" t="s">
        <v>1126</v>
      </c>
      <c r="D22" s="529"/>
      <c r="E22" s="529"/>
      <c r="F22" s="529"/>
      <c r="G22" s="529"/>
      <c r="H22" s="529"/>
      <c r="I22" s="529"/>
      <c r="J22" s="529"/>
      <c r="K22" s="529"/>
      <c r="L22" s="529"/>
      <c r="M22" s="530"/>
      <c r="N22" s="530"/>
      <c r="O22" s="531"/>
      <c r="P22" s="515">
        <f>SUMIF('caseload data'!$C:$C,'divisional &amp; regional caseload%'!B22,'caseload data'!V:V)</f>
        <v>0</v>
      </c>
      <c r="Q22" s="532"/>
      <c r="R22" s="533"/>
      <c r="S22" s="64"/>
      <c r="T22" s="290" t="str">
        <f>HLOOKUP($B$5,Region_Table,7,0)</f>
        <v>Nottingham City</v>
      </c>
      <c r="U22" s="528" t="s">
        <v>1126</v>
      </c>
      <c r="V22" s="529"/>
      <c r="W22" s="529"/>
      <c r="X22" s="529"/>
      <c r="Y22" s="529"/>
      <c r="Z22" s="529"/>
      <c r="AA22" s="529"/>
      <c r="AB22" s="529"/>
      <c r="AC22" s="529"/>
      <c r="AD22" s="529"/>
      <c r="AE22" s="530"/>
      <c r="AF22" s="530"/>
      <c r="AG22" s="531"/>
      <c r="AH22" s="515">
        <f>SUMIF('caseload data'!$C:$C,'divisional &amp; regional caseload%'!T22,'caseload data'!V:V)</f>
        <v>0</v>
      </c>
      <c r="AI22" s="532"/>
      <c r="AJ22" s="533"/>
    </row>
    <row r="23" spans="2:36" x14ac:dyDescent="0.25">
      <c r="B23" s="95" t="s">
        <v>1023</v>
      </c>
      <c r="C23" s="38" t="s">
        <v>879</v>
      </c>
      <c r="D23" s="38" t="s">
        <v>880</v>
      </c>
      <c r="E23" s="38" t="s">
        <v>881</v>
      </c>
      <c r="F23" s="38" t="s">
        <v>882</v>
      </c>
      <c r="G23" s="38" t="s">
        <v>883</v>
      </c>
      <c r="H23" s="38" t="s">
        <v>884</v>
      </c>
      <c r="I23" s="38" t="s">
        <v>885</v>
      </c>
      <c r="J23" s="38" t="s">
        <v>886</v>
      </c>
      <c r="K23" s="38" t="s">
        <v>887</v>
      </c>
      <c r="L23" s="38" t="s">
        <v>888</v>
      </c>
      <c r="M23" s="38" t="s">
        <v>889</v>
      </c>
      <c r="N23" s="38" t="s">
        <v>890</v>
      </c>
      <c r="O23" s="38" t="s">
        <v>891</v>
      </c>
      <c r="P23" s="38" t="s">
        <v>892</v>
      </c>
      <c r="Q23" s="38" t="s">
        <v>893</v>
      </c>
      <c r="R23" s="38" t="s">
        <v>894</v>
      </c>
      <c r="S23" s="64"/>
      <c r="T23" s="95" t="s">
        <v>1023</v>
      </c>
      <c r="U23" s="38" t="s">
        <v>879</v>
      </c>
      <c r="V23" s="38" t="s">
        <v>880</v>
      </c>
      <c r="W23" s="38" t="s">
        <v>881</v>
      </c>
      <c r="X23" s="38" t="s">
        <v>882</v>
      </c>
      <c r="Y23" s="38" t="s">
        <v>883</v>
      </c>
      <c r="Z23" s="38" t="s">
        <v>884</v>
      </c>
      <c r="AA23" s="38" t="s">
        <v>885</v>
      </c>
      <c r="AB23" s="38" t="s">
        <v>886</v>
      </c>
      <c r="AC23" s="38" t="s">
        <v>887</v>
      </c>
      <c r="AD23" s="38" t="s">
        <v>888</v>
      </c>
      <c r="AE23" s="38" t="s">
        <v>889</v>
      </c>
      <c r="AF23" s="38" t="s">
        <v>890</v>
      </c>
      <c r="AG23" s="38" t="s">
        <v>891</v>
      </c>
      <c r="AH23" s="38" t="s">
        <v>892</v>
      </c>
      <c r="AI23" s="38" t="s">
        <v>893</v>
      </c>
      <c r="AJ23" s="38" t="s">
        <v>894</v>
      </c>
    </row>
    <row r="24" spans="2:36" x14ac:dyDescent="0.25">
      <c r="B24" s="96" t="s">
        <v>1019</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1019</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25">
      <c r="B25" s="97" t="s">
        <v>1024</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1024</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25">
      <c r="B26" s="97" t="s">
        <v>1025</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1025</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25">
      <c r="B27" s="98" t="s">
        <v>1026</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1026</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25">
      <c r="B29" s="290" t="str">
        <f>HLOOKUP($B$5,Region_Table,8,0)</f>
        <v>Nottinghamshire - N53</v>
      </c>
      <c r="C29" s="528" t="s">
        <v>1126</v>
      </c>
      <c r="D29" s="529"/>
      <c r="E29" s="529"/>
      <c r="F29" s="529"/>
      <c r="G29" s="529"/>
      <c r="H29" s="529"/>
      <c r="I29" s="529"/>
      <c r="J29" s="529"/>
      <c r="K29" s="529"/>
      <c r="L29" s="529"/>
      <c r="M29" s="530"/>
      <c r="N29" s="530"/>
      <c r="O29" s="531"/>
      <c r="P29" s="515">
        <f>SUMIF('caseload data'!$C:$C,'divisional &amp; regional caseload%'!B29,'caseload data'!V:V)</f>
        <v>0</v>
      </c>
      <c r="Q29" s="532"/>
      <c r="R29" s="533"/>
      <c r="S29" s="64"/>
      <c r="T29" s="290" t="str">
        <f>HLOOKUP($B$5,Region_Table,9,0)</f>
        <v>Unpaid Work and Attendance Centres - N53</v>
      </c>
      <c r="U29" s="528" t="s">
        <v>1126</v>
      </c>
      <c r="V29" s="529"/>
      <c r="W29" s="529"/>
      <c r="X29" s="529"/>
      <c r="Y29" s="529"/>
      <c r="Z29" s="529"/>
      <c r="AA29" s="529"/>
      <c r="AB29" s="529"/>
      <c r="AC29" s="529"/>
      <c r="AD29" s="529"/>
      <c r="AE29" s="530"/>
      <c r="AF29" s="530"/>
      <c r="AG29" s="531"/>
      <c r="AH29" s="515">
        <f>SUMIF('caseload data'!$C:$C,'divisional &amp; regional caseload%'!T29,'caseload data'!V:V)</f>
        <v>0</v>
      </c>
      <c r="AI29" s="532"/>
      <c r="AJ29" s="533"/>
    </row>
    <row r="30" spans="2:36" x14ac:dyDescent="0.25">
      <c r="B30" s="95" t="s">
        <v>1023</v>
      </c>
      <c r="C30" s="38" t="s">
        <v>879</v>
      </c>
      <c r="D30" s="38" t="s">
        <v>880</v>
      </c>
      <c r="E30" s="38" t="s">
        <v>881</v>
      </c>
      <c r="F30" s="38" t="s">
        <v>882</v>
      </c>
      <c r="G30" s="38" t="s">
        <v>883</v>
      </c>
      <c r="H30" s="38" t="s">
        <v>884</v>
      </c>
      <c r="I30" s="38" t="s">
        <v>885</v>
      </c>
      <c r="J30" s="38" t="s">
        <v>886</v>
      </c>
      <c r="K30" s="38" t="s">
        <v>887</v>
      </c>
      <c r="L30" s="38" t="s">
        <v>888</v>
      </c>
      <c r="M30" s="38" t="s">
        <v>889</v>
      </c>
      <c r="N30" s="38" t="s">
        <v>890</v>
      </c>
      <c r="O30" s="38" t="s">
        <v>891</v>
      </c>
      <c r="P30" s="38" t="s">
        <v>892</v>
      </c>
      <c r="Q30" s="38" t="s">
        <v>893</v>
      </c>
      <c r="R30" s="38" t="s">
        <v>894</v>
      </c>
      <c r="S30" s="64"/>
      <c r="T30" s="95" t="s">
        <v>1023</v>
      </c>
      <c r="U30" s="38" t="s">
        <v>879</v>
      </c>
      <c r="V30" s="38" t="s">
        <v>880</v>
      </c>
      <c r="W30" s="38" t="s">
        <v>881</v>
      </c>
      <c r="X30" s="38" t="s">
        <v>882</v>
      </c>
      <c r="Y30" s="38" t="s">
        <v>883</v>
      </c>
      <c r="Z30" s="38" t="s">
        <v>884</v>
      </c>
      <c r="AA30" s="38" t="s">
        <v>885</v>
      </c>
      <c r="AB30" s="38" t="s">
        <v>886</v>
      </c>
      <c r="AC30" s="38" t="s">
        <v>887</v>
      </c>
      <c r="AD30" s="38" t="s">
        <v>888</v>
      </c>
      <c r="AE30" s="38" t="s">
        <v>889</v>
      </c>
      <c r="AF30" s="38" t="s">
        <v>890</v>
      </c>
      <c r="AG30" s="38" t="s">
        <v>891</v>
      </c>
      <c r="AH30" s="38" t="s">
        <v>892</v>
      </c>
      <c r="AI30" s="38" t="s">
        <v>893</v>
      </c>
      <c r="AJ30" s="38" t="s">
        <v>894</v>
      </c>
    </row>
    <row r="31" spans="2:36" x14ac:dyDescent="0.25">
      <c r="B31" s="96" t="s">
        <v>1019</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1019</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25">
      <c r="B32" s="97" t="s">
        <v>1024</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1024</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25">
      <c r="B33" s="97" t="s">
        <v>1025</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1025</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25">
      <c r="B34" s="98" t="s">
        <v>1026</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1026</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25">
      <c r="B36" s="290">
        <f>HLOOKUP($B$5,Region_Table,10,0)</f>
        <v>0</v>
      </c>
      <c r="C36" s="528" t="s">
        <v>1126</v>
      </c>
      <c r="D36" s="529"/>
      <c r="E36" s="529"/>
      <c r="F36" s="529"/>
      <c r="G36" s="529"/>
      <c r="H36" s="529"/>
      <c r="I36" s="529"/>
      <c r="J36" s="529"/>
      <c r="K36" s="529"/>
      <c r="L36" s="529"/>
      <c r="M36" s="530"/>
      <c r="N36" s="530"/>
      <c r="O36" s="531"/>
      <c r="P36" s="515">
        <f>SUMIF('caseload data'!$C:$C,'divisional &amp; regional caseload%'!B36,'caseload data'!V:V)</f>
        <v>0</v>
      </c>
      <c r="Q36" s="532"/>
      <c r="R36" s="533"/>
      <c r="S36" s="64"/>
      <c r="T36" s="290">
        <f>HLOOKUP($B$5,Region_Table,11,0)</f>
        <v>0</v>
      </c>
      <c r="U36" s="528" t="s">
        <v>1126</v>
      </c>
      <c r="V36" s="529"/>
      <c r="W36" s="529"/>
      <c r="X36" s="529"/>
      <c r="Y36" s="529"/>
      <c r="Z36" s="529"/>
      <c r="AA36" s="529"/>
      <c r="AB36" s="529"/>
      <c r="AC36" s="529"/>
      <c r="AD36" s="529"/>
      <c r="AE36" s="530"/>
      <c r="AF36" s="530"/>
      <c r="AG36" s="531"/>
      <c r="AH36" s="515">
        <f>SUMIF('caseload data'!$C:$C,'divisional &amp; regional caseload%'!T36,'caseload data'!V:V)</f>
        <v>0</v>
      </c>
      <c r="AI36" s="532"/>
      <c r="AJ36" s="533"/>
    </row>
    <row r="37" spans="2:36" x14ac:dyDescent="0.25">
      <c r="B37" s="95" t="s">
        <v>1023</v>
      </c>
      <c r="C37" s="38" t="s">
        <v>879</v>
      </c>
      <c r="D37" s="38" t="s">
        <v>880</v>
      </c>
      <c r="E37" s="38" t="s">
        <v>881</v>
      </c>
      <c r="F37" s="38" t="s">
        <v>882</v>
      </c>
      <c r="G37" s="38" t="s">
        <v>883</v>
      </c>
      <c r="H37" s="38" t="s">
        <v>884</v>
      </c>
      <c r="I37" s="38" t="s">
        <v>885</v>
      </c>
      <c r="J37" s="38" t="s">
        <v>886</v>
      </c>
      <c r="K37" s="38" t="s">
        <v>887</v>
      </c>
      <c r="L37" s="38" t="s">
        <v>888</v>
      </c>
      <c r="M37" s="38" t="s">
        <v>889</v>
      </c>
      <c r="N37" s="38" t="s">
        <v>890</v>
      </c>
      <c r="O37" s="38" t="s">
        <v>891</v>
      </c>
      <c r="P37" s="38" t="s">
        <v>892</v>
      </c>
      <c r="Q37" s="38" t="s">
        <v>893</v>
      </c>
      <c r="R37" s="38" t="s">
        <v>894</v>
      </c>
      <c r="S37" s="64"/>
      <c r="T37" s="95" t="s">
        <v>1023</v>
      </c>
      <c r="U37" s="38" t="s">
        <v>879</v>
      </c>
      <c r="V37" s="38" t="s">
        <v>880</v>
      </c>
      <c r="W37" s="38" t="s">
        <v>881</v>
      </c>
      <c r="X37" s="38" t="s">
        <v>882</v>
      </c>
      <c r="Y37" s="38" t="s">
        <v>883</v>
      </c>
      <c r="Z37" s="38" t="s">
        <v>884</v>
      </c>
      <c r="AA37" s="38" t="s">
        <v>885</v>
      </c>
      <c r="AB37" s="38" t="s">
        <v>886</v>
      </c>
      <c r="AC37" s="38" t="s">
        <v>887</v>
      </c>
      <c r="AD37" s="38" t="s">
        <v>888</v>
      </c>
      <c r="AE37" s="38" t="s">
        <v>889</v>
      </c>
      <c r="AF37" s="38" t="s">
        <v>890</v>
      </c>
      <c r="AG37" s="38" t="s">
        <v>891</v>
      </c>
      <c r="AH37" s="38" t="s">
        <v>892</v>
      </c>
      <c r="AI37" s="38" t="s">
        <v>893</v>
      </c>
      <c r="AJ37" s="38" t="s">
        <v>894</v>
      </c>
    </row>
    <row r="38" spans="2:36" x14ac:dyDescent="0.25">
      <c r="B38" s="96" t="s">
        <v>1019</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1019</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25">
      <c r="B39" s="97" t="s">
        <v>1024</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1024</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25">
      <c r="B40" s="97" t="s">
        <v>1025</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1025</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25">
      <c r="B41" s="98" t="s">
        <v>1026</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1026</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25">
      <c r="B43" s="290">
        <f>HLOOKUP($B$5,Region_Table,12,0)</f>
        <v>0</v>
      </c>
      <c r="C43" s="528" t="s">
        <v>1126</v>
      </c>
      <c r="D43" s="529"/>
      <c r="E43" s="529"/>
      <c r="F43" s="529"/>
      <c r="G43" s="529"/>
      <c r="H43" s="529"/>
      <c r="I43" s="529"/>
      <c r="J43" s="529"/>
      <c r="K43" s="529"/>
      <c r="L43" s="529"/>
      <c r="M43" s="530"/>
      <c r="N43" s="530"/>
      <c r="O43" s="531"/>
      <c r="P43" s="515">
        <f>SUMIF('caseload data'!$C:$C,'divisional &amp; regional caseload%'!B43,'caseload data'!V:V)</f>
        <v>0</v>
      </c>
      <c r="Q43" s="532"/>
      <c r="R43" s="533"/>
      <c r="S43" s="64"/>
      <c r="T43" s="290">
        <f>HLOOKUP($B$5,Region_Table,13,0)</f>
        <v>0</v>
      </c>
      <c r="U43" s="528" t="s">
        <v>1126</v>
      </c>
      <c r="V43" s="529"/>
      <c r="W43" s="529"/>
      <c r="X43" s="529"/>
      <c r="Y43" s="529"/>
      <c r="Z43" s="529"/>
      <c r="AA43" s="529"/>
      <c r="AB43" s="529"/>
      <c r="AC43" s="529"/>
      <c r="AD43" s="529"/>
      <c r="AE43" s="530"/>
      <c r="AF43" s="530"/>
      <c r="AG43" s="531"/>
      <c r="AH43" s="515">
        <f>SUMIF('caseload data'!$C:$C,'divisional &amp; regional caseload%'!T43,'caseload data'!V:V)</f>
        <v>0</v>
      </c>
      <c r="AI43" s="532"/>
      <c r="AJ43" s="533"/>
    </row>
    <row r="44" spans="2:36" x14ac:dyDescent="0.25">
      <c r="B44" s="95" t="s">
        <v>1023</v>
      </c>
      <c r="C44" s="38" t="s">
        <v>879</v>
      </c>
      <c r="D44" s="38" t="s">
        <v>880</v>
      </c>
      <c r="E44" s="38" t="s">
        <v>881</v>
      </c>
      <c r="F44" s="38" t="s">
        <v>882</v>
      </c>
      <c r="G44" s="38" t="s">
        <v>883</v>
      </c>
      <c r="H44" s="38" t="s">
        <v>884</v>
      </c>
      <c r="I44" s="38" t="s">
        <v>885</v>
      </c>
      <c r="J44" s="38" t="s">
        <v>886</v>
      </c>
      <c r="K44" s="38" t="s">
        <v>887</v>
      </c>
      <c r="L44" s="38" t="s">
        <v>888</v>
      </c>
      <c r="M44" s="38" t="s">
        <v>889</v>
      </c>
      <c r="N44" s="38" t="s">
        <v>890</v>
      </c>
      <c r="O44" s="38" t="s">
        <v>891</v>
      </c>
      <c r="P44" s="38" t="s">
        <v>892</v>
      </c>
      <c r="Q44" s="38" t="s">
        <v>893</v>
      </c>
      <c r="R44" s="38" t="s">
        <v>894</v>
      </c>
      <c r="S44" s="64"/>
      <c r="T44" s="95" t="s">
        <v>1023</v>
      </c>
      <c r="U44" s="38" t="s">
        <v>879</v>
      </c>
      <c r="V44" s="38" t="s">
        <v>880</v>
      </c>
      <c r="W44" s="38" t="s">
        <v>881</v>
      </c>
      <c r="X44" s="38" t="s">
        <v>882</v>
      </c>
      <c r="Y44" s="38" t="s">
        <v>883</v>
      </c>
      <c r="Z44" s="38" t="s">
        <v>884</v>
      </c>
      <c r="AA44" s="38" t="s">
        <v>885</v>
      </c>
      <c r="AB44" s="38" t="s">
        <v>886</v>
      </c>
      <c r="AC44" s="38" t="s">
        <v>887</v>
      </c>
      <c r="AD44" s="38" t="s">
        <v>888</v>
      </c>
      <c r="AE44" s="38" t="s">
        <v>889</v>
      </c>
      <c r="AF44" s="38" t="s">
        <v>890</v>
      </c>
      <c r="AG44" s="38" t="s">
        <v>891</v>
      </c>
      <c r="AH44" s="38" t="s">
        <v>892</v>
      </c>
      <c r="AI44" s="38" t="s">
        <v>893</v>
      </c>
      <c r="AJ44" s="38" t="s">
        <v>894</v>
      </c>
    </row>
    <row r="45" spans="2:36" x14ac:dyDescent="0.25">
      <c r="B45" s="96" t="s">
        <v>1019</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1019</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25">
      <c r="B46" s="97" t="s">
        <v>1024</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1024</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25">
      <c r="B47" s="97" t="s">
        <v>1025</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1025</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25">
      <c r="B48" s="98" t="s">
        <v>1026</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1026</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25">
      <c r="B50" s="290">
        <f>HLOOKUP($B$5,Region_Table,14,0)</f>
        <v>0</v>
      </c>
      <c r="C50" s="528" t="s">
        <v>1126</v>
      </c>
      <c r="D50" s="529"/>
      <c r="E50" s="529"/>
      <c r="F50" s="529"/>
      <c r="G50" s="529"/>
      <c r="H50" s="529"/>
      <c r="I50" s="529"/>
      <c r="J50" s="529"/>
      <c r="K50" s="529"/>
      <c r="L50" s="529"/>
      <c r="M50" s="530"/>
      <c r="N50" s="530"/>
      <c r="O50" s="531"/>
      <c r="P50" s="515">
        <f>SUMIF('caseload data'!$C:$C,'divisional &amp; regional caseload%'!B50,'caseload data'!V:V)</f>
        <v>0</v>
      </c>
      <c r="Q50" s="532"/>
      <c r="R50" s="533"/>
      <c r="S50" s="64"/>
      <c r="T50" s="290">
        <f>HLOOKUP($B$5,Region_Table,15,0)</f>
        <v>0</v>
      </c>
      <c r="U50" s="528" t="s">
        <v>1126</v>
      </c>
      <c r="V50" s="529"/>
      <c r="W50" s="529"/>
      <c r="X50" s="529"/>
      <c r="Y50" s="529"/>
      <c r="Z50" s="529"/>
      <c r="AA50" s="529"/>
      <c r="AB50" s="529"/>
      <c r="AC50" s="529"/>
      <c r="AD50" s="529"/>
      <c r="AE50" s="530"/>
      <c r="AF50" s="530"/>
      <c r="AG50" s="531"/>
      <c r="AH50" s="515">
        <f>SUMIF('caseload data'!$C:$C,'divisional &amp; regional caseload%'!T50,'caseload data'!V:V)</f>
        <v>0</v>
      </c>
      <c r="AI50" s="532"/>
      <c r="AJ50" s="533"/>
    </row>
    <row r="51" spans="2:36" x14ac:dyDescent="0.25">
      <c r="B51" s="95" t="s">
        <v>1023</v>
      </c>
      <c r="C51" s="38" t="s">
        <v>879</v>
      </c>
      <c r="D51" s="38" t="s">
        <v>880</v>
      </c>
      <c r="E51" s="38" t="s">
        <v>881</v>
      </c>
      <c r="F51" s="38" t="s">
        <v>882</v>
      </c>
      <c r="G51" s="38" t="s">
        <v>883</v>
      </c>
      <c r="H51" s="38" t="s">
        <v>884</v>
      </c>
      <c r="I51" s="38" t="s">
        <v>885</v>
      </c>
      <c r="J51" s="38" t="s">
        <v>886</v>
      </c>
      <c r="K51" s="38" t="s">
        <v>887</v>
      </c>
      <c r="L51" s="38" t="s">
        <v>888</v>
      </c>
      <c r="M51" s="38" t="s">
        <v>889</v>
      </c>
      <c r="N51" s="38" t="s">
        <v>890</v>
      </c>
      <c r="O51" s="38" t="s">
        <v>891</v>
      </c>
      <c r="P51" s="38" t="s">
        <v>892</v>
      </c>
      <c r="Q51" s="38" t="s">
        <v>893</v>
      </c>
      <c r="R51" s="38" t="s">
        <v>894</v>
      </c>
      <c r="S51" s="64"/>
      <c r="T51" s="95" t="s">
        <v>1023</v>
      </c>
      <c r="U51" s="38" t="s">
        <v>879</v>
      </c>
      <c r="V51" s="38" t="s">
        <v>880</v>
      </c>
      <c r="W51" s="38" t="s">
        <v>881</v>
      </c>
      <c r="X51" s="38" t="s">
        <v>882</v>
      </c>
      <c r="Y51" s="38" t="s">
        <v>883</v>
      </c>
      <c r="Z51" s="38" t="s">
        <v>884</v>
      </c>
      <c r="AA51" s="38" t="s">
        <v>885</v>
      </c>
      <c r="AB51" s="38" t="s">
        <v>886</v>
      </c>
      <c r="AC51" s="38" t="s">
        <v>887</v>
      </c>
      <c r="AD51" s="38" t="s">
        <v>888</v>
      </c>
      <c r="AE51" s="38" t="s">
        <v>889</v>
      </c>
      <c r="AF51" s="38" t="s">
        <v>890</v>
      </c>
      <c r="AG51" s="38" t="s">
        <v>891</v>
      </c>
      <c r="AH51" s="38" t="s">
        <v>892</v>
      </c>
      <c r="AI51" s="38" t="s">
        <v>893</v>
      </c>
      <c r="AJ51" s="38" t="s">
        <v>894</v>
      </c>
    </row>
    <row r="52" spans="2:36" x14ac:dyDescent="0.25">
      <c r="B52" s="96" t="s">
        <v>1019</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1019</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25">
      <c r="B53" s="97" t="s">
        <v>1024</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1024</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25">
      <c r="B54" s="97" t="s">
        <v>1025</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1025</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25">
      <c r="B55" s="98" t="s">
        <v>1026</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1026</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25">
      <c r="B57" s="290">
        <f>HLOOKUP($B$5,Region_Table,16,0)</f>
        <v>0</v>
      </c>
      <c r="C57" s="528" t="s">
        <v>1126</v>
      </c>
      <c r="D57" s="529"/>
      <c r="E57" s="529"/>
      <c r="F57" s="529"/>
      <c r="G57" s="529"/>
      <c r="H57" s="529"/>
      <c r="I57" s="529"/>
      <c r="J57" s="529"/>
      <c r="K57" s="529"/>
      <c r="L57" s="529"/>
      <c r="M57" s="530"/>
      <c r="N57" s="530"/>
      <c r="O57" s="531"/>
      <c r="P57" s="515">
        <f>SUMIF('caseload data'!$C:$C,'divisional &amp; regional caseload%'!B57,'caseload data'!V:V)</f>
        <v>0</v>
      </c>
      <c r="Q57" s="532"/>
      <c r="R57" s="533"/>
      <c r="S57" s="64"/>
      <c r="T57" s="290">
        <f>HLOOKUP($B$5,Region_Table,17,0)</f>
        <v>0</v>
      </c>
      <c r="U57" s="528" t="s">
        <v>1122</v>
      </c>
      <c r="V57" s="529"/>
      <c r="W57" s="529"/>
      <c r="X57" s="529"/>
      <c r="Y57" s="529"/>
      <c r="Z57" s="529"/>
      <c r="AA57" s="529"/>
      <c r="AB57" s="529"/>
      <c r="AC57" s="529"/>
      <c r="AD57" s="529"/>
      <c r="AE57" s="530"/>
      <c r="AF57" s="530"/>
      <c r="AG57" s="531"/>
      <c r="AH57" s="515">
        <f>SUMIF('caseload data'!$C:$C,'divisional &amp; regional caseload%'!T57,'caseload data'!V:V)</f>
        <v>0</v>
      </c>
      <c r="AI57" s="532"/>
      <c r="AJ57" s="533"/>
    </row>
    <row r="58" spans="2:36" x14ac:dyDescent="0.25">
      <c r="B58" s="95" t="s">
        <v>1023</v>
      </c>
      <c r="C58" s="38" t="s">
        <v>879</v>
      </c>
      <c r="D58" s="38" t="s">
        <v>880</v>
      </c>
      <c r="E58" s="38" t="s">
        <v>881</v>
      </c>
      <c r="F58" s="38" t="s">
        <v>882</v>
      </c>
      <c r="G58" s="38" t="s">
        <v>883</v>
      </c>
      <c r="H58" s="38" t="s">
        <v>884</v>
      </c>
      <c r="I58" s="38" t="s">
        <v>885</v>
      </c>
      <c r="J58" s="38" t="s">
        <v>886</v>
      </c>
      <c r="K58" s="38" t="s">
        <v>887</v>
      </c>
      <c r="L58" s="38" t="s">
        <v>888</v>
      </c>
      <c r="M58" s="38" t="s">
        <v>889</v>
      </c>
      <c r="N58" s="38" t="s">
        <v>890</v>
      </c>
      <c r="O58" s="38" t="s">
        <v>891</v>
      </c>
      <c r="P58" s="38" t="s">
        <v>892</v>
      </c>
      <c r="Q58" s="38" t="s">
        <v>893</v>
      </c>
      <c r="R58" s="38" t="s">
        <v>894</v>
      </c>
      <c r="S58" s="64"/>
      <c r="T58" s="95" t="s">
        <v>1023</v>
      </c>
      <c r="U58" s="38" t="s">
        <v>879</v>
      </c>
      <c r="V58" s="38" t="s">
        <v>880</v>
      </c>
      <c r="W58" s="38" t="s">
        <v>881</v>
      </c>
      <c r="X58" s="38" t="s">
        <v>882</v>
      </c>
      <c r="Y58" s="38" t="s">
        <v>883</v>
      </c>
      <c r="Z58" s="38" t="s">
        <v>884</v>
      </c>
      <c r="AA58" s="38" t="s">
        <v>885</v>
      </c>
      <c r="AB58" s="38" t="s">
        <v>886</v>
      </c>
      <c r="AC58" s="38" t="s">
        <v>887</v>
      </c>
      <c r="AD58" s="38" t="s">
        <v>888</v>
      </c>
      <c r="AE58" s="38" t="s">
        <v>889</v>
      </c>
      <c r="AF58" s="38" t="s">
        <v>890</v>
      </c>
      <c r="AG58" s="38" t="s">
        <v>891</v>
      </c>
      <c r="AH58" s="38" t="s">
        <v>892</v>
      </c>
      <c r="AI58" s="38" t="s">
        <v>893</v>
      </c>
      <c r="AJ58" s="38" t="s">
        <v>894</v>
      </c>
    </row>
    <row r="59" spans="2:36" x14ac:dyDescent="0.25">
      <c r="B59" s="96" t="s">
        <v>1019</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1019</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25">
      <c r="B60" s="97" t="s">
        <v>1024</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1024</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25">
      <c r="B61" s="97" t="s">
        <v>1025</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1025</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25">
      <c r="B62" s="98" t="s">
        <v>1026</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1026</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45" customHeight="1" x14ac:dyDescent="0.25">
      <c r="B64" s="290">
        <f>HLOOKUP($B$5,Region_Table,18,0)</f>
        <v>0</v>
      </c>
      <c r="C64" s="528" t="s">
        <v>1126</v>
      </c>
      <c r="D64" s="529"/>
      <c r="E64" s="529"/>
      <c r="F64" s="529"/>
      <c r="G64" s="529"/>
      <c r="H64" s="529"/>
      <c r="I64" s="529"/>
      <c r="J64" s="529"/>
      <c r="K64" s="529"/>
      <c r="L64" s="529"/>
      <c r="M64" s="530"/>
      <c r="N64" s="530"/>
      <c r="O64" s="531"/>
      <c r="P64" s="515">
        <f>SUMIF('caseload data'!$C:$C,'divisional &amp; regional caseload%'!B64,'caseload data'!V:V)</f>
        <v>0</v>
      </c>
      <c r="Q64" s="532"/>
      <c r="R64" s="533"/>
      <c r="S64" s="64"/>
      <c r="T64" s="290">
        <f>HLOOKUP($B$5,Region_Table,19,0)</f>
        <v>0</v>
      </c>
      <c r="U64" s="528" t="s">
        <v>1126</v>
      </c>
      <c r="V64" s="529"/>
      <c r="W64" s="529"/>
      <c r="X64" s="529"/>
      <c r="Y64" s="529"/>
      <c r="Z64" s="529"/>
      <c r="AA64" s="529"/>
      <c r="AB64" s="529"/>
      <c r="AC64" s="529"/>
      <c r="AD64" s="529"/>
      <c r="AE64" s="530"/>
      <c r="AF64" s="530"/>
      <c r="AG64" s="531"/>
      <c r="AH64" s="515">
        <f>SUMIF('caseload data'!$C:$C,'divisional &amp; regional caseload%'!T64,'caseload data'!V:V)</f>
        <v>0</v>
      </c>
      <c r="AI64" s="532"/>
      <c r="AJ64" s="533"/>
    </row>
    <row r="65" spans="2:36" x14ac:dyDescent="0.25">
      <c r="B65" s="95" t="s">
        <v>1023</v>
      </c>
      <c r="C65" s="38" t="s">
        <v>879</v>
      </c>
      <c r="D65" s="38" t="s">
        <v>880</v>
      </c>
      <c r="E65" s="38" t="s">
        <v>881</v>
      </c>
      <c r="F65" s="38" t="s">
        <v>882</v>
      </c>
      <c r="G65" s="38" t="s">
        <v>883</v>
      </c>
      <c r="H65" s="38" t="s">
        <v>884</v>
      </c>
      <c r="I65" s="38" t="s">
        <v>885</v>
      </c>
      <c r="J65" s="38" t="s">
        <v>886</v>
      </c>
      <c r="K65" s="38" t="s">
        <v>887</v>
      </c>
      <c r="L65" s="38" t="s">
        <v>888</v>
      </c>
      <c r="M65" s="38" t="s">
        <v>889</v>
      </c>
      <c r="N65" s="38" t="s">
        <v>890</v>
      </c>
      <c r="O65" s="38" t="s">
        <v>891</v>
      </c>
      <c r="P65" s="38" t="s">
        <v>892</v>
      </c>
      <c r="Q65" s="38" t="s">
        <v>893</v>
      </c>
      <c r="R65" s="38" t="s">
        <v>894</v>
      </c>
      <c r="S65" s="64"/>
      <c r="T65" s="95" t="s">
        <v>1023</v>
      </c>
      <c r="U65" s="38" t="s">
        <v>879</v>
      </c>
      <c r="V65" s="38" t="s">
        <v>880</v>
      </c>
      <c r="W65" s="38" t="s">
        <v>881</v>
      </c>
      <c r="X65" s="38" t="s">
        <v>882</v>
      </c>
      <c r="Y65" s="38" t="s">
        <v>883</v>
      </c>
      <c r="Z65" s="38" t="s">
        <v>884</v>
      </c>
      <c r="AA65" s="38" t="s">
        <v>885</v>
      </c>
      <c r="AB65" s="38" t="s">
        <v>886</v>
      </c>
      <c r="AC65" s="38" t="s">
        <v>887</v>
      </c>
      <c r="AD65" s="38" t="s">
        <v>888</v>
      </c>
      <c r="AE65" s="38" t="s">
        <v>889</v>
      </c>
      <c r="AF65" s="38" t="s">
        <v>890</v>
      </c>
      <c r="AG65" s="38" t="s">
        <v>891</v>
      </c>
      <c r="AH65" s="38" t="s">
        <v>892</v>
      </c>
      <c r="AI65" s="38" t="s">
        <v>893</v>
      </c>
      <c r="AJ65" s="38" t="s">
        <v>894</v>
      </c>
    </row>
    <row r="66" spans="2:36" x14ac:dyDescent="0.25">
      <c r="B66" s="96" t="s">
        <v>1019</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1019</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25">
      <c r="B67" s="97" t="s">
        <v>1024</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1024</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25">
      <c r="B68" s="97" t="s">
        <v>1025</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1025</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25">
      <c r="B69" s="98" t="s">
        <v>1026</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1026</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25">
      <c r="B71" s="290">
        <f>HLOOKUP($B$5,Region_Table,20,0)</f>
        <v>0</v>
      </c>
      <c r="C71" s="528" t="s">
        <v>1126</v>
      </c>
      <c r="D71" s="529"/>
      <c r="E71" s="529"/>
      <c r="F71" s="529"/>
      <c r="G71" s="529"/>
      <c r="H71" s="529"/>
      <c r="I71" s="529"/>
      <c r="J71" s="529"/>
      <c r="K71" s="529"/>
      <c r="L71" s="529"/>
      <c r="M71" s="530"/>
      <c r="N71" s="530"/>
      <c r="O71" s="531"/>
      <c r="P71" s="515">
        <f>SUMIF('caseload data'!$C:$C,'divisional &amp; regional caseload%'!B71,'caseload data'!V:V)</f>
        <v>0</v>
      </c>
      <c r="Q71" s="532"/>
      <c r="R71" s="533"/>
      <c r="T71" s="290">
        <f>HLOOKUP($B$5,Region_Table,21,0)</f>
        <v>0</v>
      </c>
      <c r="U71" s="528" t="s">
        <v>1126</v>
      </c>
      <c r="V71" s="529"/>
      <c r="W71" s="529"/>
      <c r="X71" s="529"/>
      <c r="Y71" s="529"/>
      <c r="Z71" s="529"/>
      <c r="AA71" s="529"/>
      <c r="AB71" s="529"/>
      <c r="AC71" s="529"/>
      <c r="AD71" s="529"/>
      <c r="AE71" s="530"/>
      <c r="AF71" s="530"/>
      <c r="AG71" s="531"/>
      <c r="AH71" s="515">
        <f>SUMIF('caseload data'!$C:$C,'divisional &amp; regional caseload%'!T71,'caseload data'!V:V)</f>
        <v>0</v>
      </c>
      <c r="AI71" s="532"/>
      <c r="AJ71" s="533"/>
    </row>
    <row r="72" spans="2:36" x14ac:dyDescent="0.25">
      <c r="B72" s="95" t="s">
        <v>1023</v>
      </c>
      <c r="C72" s="38" t="s">
        <v>879</v>
      </c>
      <c r="D72" s="38" t="s">
        <v>880</v>
      </c>
      <c r="E72" s="38" t="s">
        <v>881</v>
      </c>
      <c r="F72" s="38" t="s">
        <v>882</v>
      </c>
      <c r="G72" s="38" t="s">
        <v>883</v>
      </c>
      <c r="H72" s="38" t="s">
        <v>884</v>
      </c>
      <c r="I72" s="38" t="s">
        <v>885</v>
      </c>
      <c r="J72" s="38" t="s">
        <v>886</v>
      </c>
      <c r="K72" s="38" t="s">
        <v>887</v>
      </c>
      <c r="L72" s="38" t="s">
        <v>888</v>
      </c>
      <c r="M72" s="38" t="s">
        <v>889</v>
      </c>
      <c r="N72" s="38" t="s">
        <v>890</v>
      </c>
      <c r="O72" s="38" t="s">
        <v>891</v>
      </c>
      <c r="P72" s="38" t="s">
        <v>892</v>
      </c>
      <c r="Q72" s="38" t="s">
        <v>893</v>
      </c>
      <c r="R72" s="38" t="s">
        <v>894</v>
      </c>
      <c r="T72" s="95" t="s">
        <v>1023</v>
      </c>
      <c r="U72" s="38" t="s">
        <v>879</v>
      </c>
      <c r="V72" s="38" t="s">
        <v>880</v>
      </c>
      <c r="W72" s="38" t="s">
        <v>881</v>
      </c>
      <c r="X72" s="38" t="s">
        <v>882</v>
      </c>
      <c r="Y72" s="38" t="s">
        <v>883</v>
      </c>
      <c r="Z72" s="38" t="s">
        <v>884</v>
      </c>
      <c r="AA72" s="38" t="s">
        <v>885</v>
      </c>
      <c r="AB72" s="38" t="s">
        <v>886</v>
      </c>
      <c r="AC72" s="38" t="s">
        <v>887</v>
      </c>
      <c r="AD72" s="38" t="s">
        <v>888</v>
      </c>
      <c r="AE72" s="38" t="s">
        <v>889</v>
      </c>
      <c r="AF72" s="38" t="s">
        <v>890</v>
      </c>
      <c r="AG72" s="38" t="s">
        <v>891</v>
      </c>
      <c r="AH72" s="38" t="s">
        <v>892</v>
      </c>
      <c r="AI72" s="38" t="s">
        <v>893</v>
      </c>
      <c r="AJ72" s="38" t="s">
        <v>894</v>
      </c>
    </row>
    <row r="73" spans="2:36" x14ac:dyDescent="0.25">
      <c r="B73" s="96" t="s">
        <v>1019</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1019</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25">
      <c r="B74" s="97" t="s">
        <v>1024</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1024</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25">
      <c r="B75" s="97" t="s">
        <v>1025</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1025</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25">
      <c r="B76" s="98" t="s">
        <v>1026</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1026</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25">
      <c r="B78" s="290">
        <f>HLOOKUP($B$5,Region_Table,22,0)</f>
        <v>0</v>
      </c>
      <c r="C78" s="528" t="s">
        <v>1126</v>
      </c>
      <c r="D78" s="529"/>
      <c r="E78" s="529"/>
      <c r="F78" s="529"/>
      <c r="G78" s="529"/>
      <c r="H78" s="529"/>
      <c r="I78" s="529"/>
      <c r="J78" s="529"/>
      <c r="K78" s="529"/>
      <c r="L78" s="529"/>
      <c r="M78" s="530"/>
      <c r="N78" s="530"/>
      <c r="O78" s="531"/>
      <c r="P78" s="515">
        <f>SUMIF('caseload data'!$C:$C,'divisional &amp; regional caseload%'!B78,'caseload data'!V:V)</f>
        <v>0</v>
      </c>
      <c r="Q78" s="532"/>
      <c r="R78" s="533"/>
      <c r="T78" s="290">
        <f>HLOOKUP($B$5,Region_Table,23,0)</f>
        <v>0</v>
      </c>
      <c r="U78" s="528" t="s">
        <v>1126</v>
      </c>
      <c r="V78" s="529"/>
      <c r="W78" s="529"/>
      <c r="X78" s="529"/>
      <c r="Y78" s="529"/>
      <c r="Z78" s="529"/>
      <c r="AA78" s="529"/>
      <c r="AB78" s="529"/>
      <c r="AC78" s="529"/>
      <c r="AD78" s="529"/>
      <c r="AE78" s="530"/>
      <c r="AF78" s="530"/>
      <c r="AG78" s="531"/>
      <c r="AH78" s="515">
        <f>SUMIF('caseload data'!$C:$C,'divisional &amp; regional caseload%'!T78,'caseload data'!V:V)</f>
        <v>0</v>
      </c>
      <c r="AI78" s="532"/>
      <c r="AJ78" s="533"/>
    </row>
    <row r="79" spans="2:36" x14ac:dyDescent="0.25">
      <c r="B79" s="95" t="s">
        <v>1023</v>
      </c>
      <c r="C79" s="38" t="s">
        <v>879</v>
      </c>
      <c r="D79" s="38" t="s">
        <v>880</v>
      </c>
      <c r="E79" s="38" t="s">
        <v>881</v>
      </c>
      <c r="F79" s="38" t="s">
        <v>882</v>
      </c>
      <c r="G79" s="38" t="s">
        <v>883</v>
      </c>
      <c r="H79" s="38" t="s">
        <v>884</v>
      </c>
      <c r="I79" s="38" t="s">
        <v>885</v>
      </c>
      <c r="J79" s="38" t="s">
        <v>886</v>
      </c>
      <c r="K79" s="38" t="s">
        <v>887</v>
      </c>
      <c r="L79" s="38" t="s">
        <v>888</v>
      </c>
      <c r="M79" s="38" t="s">
        <v>889</v>
      </c>
      <c r="N79" s="38" t="s">
        <v>890</v>
      </c>
      <c r="O79" s="38" t="s">
        <v>891</v>
      </c>
      <c r="P79" s="38" t="s">
        <v>892</v>
      </c>
      <c r="Q79" s="38" t="s">
        <v>893</v>
      </c>
      <c r="R79" s="38" t="s">
        <v>894</v>
      </c>
      <c r="T79" s="95" t="s">
        <v>1023</v>
      </c>
      <c r="U79" s="38" t="s">
        <v>879</v>
      </c>
      <c r="V79" s="38" t="s">
        <v>880</v>
      </c>
      <c r="W79" s="38" t="s">
        <v>881</v>
      </c>
      <c r="X79" s="38" t="s">
        <v>882</v>
      </c>
      <c r="Y79" s="38" t="s">
        <v>883</v>
      </c>
      <c r="Z79" s="38" t="s">
        <v>884</v>
      </c>
      <c r="AA79" s="38" t="s">
        <v>885</v>
      </c>
      <c r="AB79" s="38" t="s">
        <v>886</v>
      </c>
      <c r="AC79" s="38" t="s">
        <v>887</v>
      </c>
      <c r="AD79" s="38" t="s">
        <v>888</v>
      </c>
      <c r="AE79" s="38" t="s">
        <v>889</v>
      </c>
      <c r="AF79" s="38" t="s">
        <v>890</v>
      </c>
      <c r="AG79" s="38" t="s">
        <v>891</v>
      </c>
      <c r="AH79" s="38" t="s">
        <v>892</v>
      </c>
      <c r="AI79" s="38" t="s">
        <v>893</v>
      </c>
      <c r="AJ79" s="38" t="s">
        <v>894</v>
      </c>
    </row>
    <row r="80" spans="2:36" x14ac:dyDescent="0.25">
      <c r="B80" s="96" t="s">
        <v>1019</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1019</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25">
      <c r="B81" s="97" t="s">
        <v>1024</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1024</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25">
      <c r="B82" s="97" t="s">
        <v>1025</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1025</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25">
      <c r="B83" s="98" t="s">
        <v>1026</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1026</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25">
      <c r="B85" s="290">
        <f>HLOOKUP($B$5,Region_Table,24,0)</f>
        <v>0</v>
      </c>
      <c r="C85" s="528" t="s">
        <v>1126</v>
      </c>
      <c r="D85" s="529"/>
      <c r="E85" s="529"/>
      <c r="F85" s="529"/>
      <c r="G85" s="529"/>
      <c r="H85" s="529"/>
      <c r="I85" s="529"/>
      <c r="J85" s="529"/>
      <c r="K85" s="529"/>
      <c r="L85" s="529"/>
      <c r="M85" s="530"/>
      <c r="N85" s="530"/>
      <c r="O85" s="531"/>
      <c r="P85" s="515">
        <f>SUMIF('caseload data'!$C:$C,'divisional &amp; regional caseload%'!B85,'caseload data'!V:V)</f>
        <v>0</v>
      </c>
      <c r="Q85" s="532"/>
      <c r="R85" s="533"/>
      <c r="T85" s="290">
        <f>HLOOKUP($B$5,Region_Table,25,0)</f>
        <v>0</v>
      </c>
      <c r="U85" s="528" t="s">
        <v>1126</v>
      </c>
      <c r="V85" s="529"/>
      <c r="W85" s="529"/>
      <c r="X85" s="529"/>
      <c r="Y85" s="529"/>
      <c r="Z85" s="529"/>
      <c r="AA85" s="529"/>
      <c r="AB85" s="529"/>
      <c r="AC85" s="529"/>
      <c r="AD85" s="529"/>
      <c r="AE85" s="530"/>
      <c r="AF85" s="530"/>
      <c r="AG85" s="531"/>
      <c r="AH85" s="515">
        <f>SUMIF('caseload data'!$C:$C,'divisional &amp; regional caseload%'!T85,'caseload data'!V:V)</f>
        <v>0</v>
      </c>
      <c r="AI85" s="532"/>
      <c r="AJ85" s="533"/>
    </row>
    <row r="86" spans="2:36" x14ac:dyDescent="0.25">
      <c r="B86" s="95" t="s">
        <v>1023</v>
      </c>
      <c r="C86" s="38" t="s">
        <v>879</v>
      </c>
      <c r="D86" s="38" t="s">
        <v>880</v>
      </c>
      <c r="E86" s="38" t="s">
        <v>881</v>
      </c>
      <c r="F86" s="38" t="s">
        <v>882</v>
      </c>
      <c r="G86" s="38" t="s">
        <v>883</v>
      </c>
      <c r="H86" s="38" t="s">
        <v>884</v>
      </c>
      <c r="I86" s="38" t="s">
        <v>885</v>
      </c>
      <c r="J86" s="38" t="s">
        <v>886</v>
      </c>
      <c r="K86" s="38" t="s">
        <v>887</v>
      </c>
      <c r="L86" s="38" t="s">
        <v>888</v>
      </c>
      <c r="M86" s="38" t="s">
        <v>889</v>
      </c>
      <c r="N86" s="38" t="s">
        <v>890</v>
      </c>
      <c r="O86" s="38" t="s">
        <v>891</v>
      </c>
      <c r="P86" s="38" t="s">
        <v>892</v>
      </c>
      <c r="Q86" s="38" t="s">
        <v>893</v>
      </c>
      <c r="R86" s="38" t="s">
        <v>894</v>
      </c>
      <c r="T86" s="95" t="s">
        <v>1023</v>
      </c>
      <c r="U86" s="38" t="s">
        <v>879</v>
      </c>
      <c r="V86" s="38" t="s">
        <v>880</v>
      </c>
      <c r="W86" s="38" t="s">
        <v>881</v>
      </c>
      <c r="X86" s="38" t="s">
        <v>882</v>
      </c>
      <c r="Y86" s="38" t="s">
        <v>883</v>
      </c>
      <c r="Z86" s="38" t="s">
        <v>884</v>
      </c>
      <c r="AA86" s="38" t="s">
        <v>885</v>
      </c>
      <c r="AB86" s="38" t="s">
        <v>886</v>
      </c>
      <c r="AC86" s="38" t="s">
        <v>887</v>
      </c>
      <c r="AD86" s="38" t="s">
        <v>888</v>
      </c>
      <c r="AE86" s="38" t="s">
        <v>889</v>
      </c>
      <c r="AF86" s="38" t="s">
        <v>890</v>
      </c>
      <c r="AG86" s="38" t="s">
        <v>891</v>
      </c>
      <c r="AH86" s="38" t="s">
        <v>892</v>
      </c>
      <c r="AI86" s="38" t="s">
        <v>893</v>
      </c>
      <c r="AJ86" s="38" t="s">
        <v>894</v>
      </c>
    </row>
    <row r="87" spans="2:36" x14ac:dyDescent="0.25">
      <c r="B87" s="96" t="s">
        <v>1019</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1019</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25">
      <c r="B88" s="97" t="s">
        <v>1024</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1024</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25">
      <c r="B89" s="97" t="s">
        <v>1025</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1025</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25">
      <c r="B90" s="98" t="s">
        <v>1026</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1026</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25">
      <c r="B92" s="142">
        <f>HLOOKUP($B$5,Region_Table,26,0)</f>
        <v>0</v>
      </c>
      <c r="C92" s="528" t="s">
        <v>1122</v>
      </c>
      <c r="D92" s="529"/>
      <c r="E92" s="529"/>
      <c r="F92" s="529"/>
      <c r="G92" s="529"/>
      <c r="H92" s="529"/>
      <c r="I92" s="529"/>
      <c r="J92" s="529"/>
      <c r="K92" s="529"/>
      <c r="L92" s="529"/>
      <c r="M92" s="530"/>
      <c r="N92" s="530"/>
      <c r="O92" s="531"/>
      <c r="P92" s="515">
        <f>SUMIF('caseload data'!$C:$C,'divisional &amp; regional caseload%'!B92,'caseload data'!V:V)</f>
        <v>0</v>
      </c>
      <c r="Q92" s="532"/>
      <c r="R92" s="533"/>
      <c r="T92" s="142">
        <f>HLOOKUP($B$5,Region_Table,27,0)</f>
        <v>0</v>
      </c>
      <c r="U92" s="528" t="s">
        <v>1122</v>
      </c>
      <c r="V92" s="529"/>
      <c r="W92" s="529"/>
      <c r="X92" s="529"/>
      <c r="Y92" s="529"/>
      <c r="Z92" s="529"/>
      <c r="AA92" s="529"/>
      <c r="AB92" s="529"/>
      <c r="AC92" s="529"/>
      <c r="AD92" s="529"/>
      <c r="AE92" s="530"/>
      <c r="AF92" s="530"/>
      <c r="AG92" s="531"/>
      <c r="AH92" s="515">
        <f>SUMIF('caseload data'!$C:$C,'divisional &amp; regional caseload%'!T92,'caseload data'!V:V)</f>
        <v>0</v>
      </c>
      <c r="AI92" s="532"/>
      <c r="AJ92" s="533"/>
    </row>
    <row r="93" spans="2:36" x14ac:dyDescent="0.25">
      <c r="B93" s="95" t="s">
        <v>1023</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T93" s="95" t="s">
        <v>1023</v>
      </c>
      <c r="U93" s="38" t="s">
        <v>879</v>
      </c>
      <c r="V93" s="38" t="s">
        <v>880</v>
      </c>
      <c r="W93" s="38" t="s">
        <v>881</v>
      </c>
      <c r="X93" s="38" t="s">
        <v>882</v>
      </c>
      <c r="Y93" s="38" t="s">
        <v>883</v>
      </c>
      <c r="Z93" s="38" t="s">
        <v>884</v>
      </c>
      <c r="AA93" s="38" t="s">
        <v>885</v>
      </c>
      <c r="AB93" s="38" t="s">
        <v>886</v>
      </c>
      <c r="AC93" s="38" t="s">
        <v>887</v>
      </c>
      <c r="AD93" s="38" t="s">
        <v>888</v>
      </c>
      <c r="AE93" s="38" t="s">
        <v>889</v>
      </c>
      <c r="AF93" s="38" t="s">
        <v>890</v>
      </c>
      <c r="AG93" s="38" t="s">
        <v>891</v>
      </c>
      <c r="AH93" s="38" t="s">
        <v>892</v>
      </c>
      <c r="AI93" s="38" t="s">
        <v>893</v>
      </c>
      <c r="AJ93" s="38" t="s">
        <v>894</v>
      </c>
    </row>
    <row r="94" spans="2:36" x14ac:dyDescent="0.25">
      <c r="B94" s="96" t="s">
        <v>1019</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1019</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25">
      <c r="B95" s="97" t="s">
        <v>1024</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1024</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25">
      <c r="B96" s="97" t="s">
        <v>1025</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1025</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25">
      <c r="B97" s="98" t="s">
        <v>1026</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1026</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25">
      <c r="B99" s="142">
        <f>HLOOKUP($B$5,Region_Table,28,0)</f>
        <v>0</v>
      </c>
      <c r="C99" s="528" t="s">
        <v>1122</v>
      </c>
      <c r="D99" s="529"/>
      <c r="E99" s="529"/>
      <c r="F99" s="529"/>
      <c r="G99" s="529"/>
      <c r="H99" s="529"/>
      <c r="I99" s="529"/>
      <c r="J99" s="529"/>
      <c r="K99" s="529"/>
      <c r="L99" s="529"/>
      <c r="M99" s="530"/>
      <c r="N99" s="530"/>
      <c r="O99" s="531"/>
      <c r="P99" s="515">
        <f>SUMIF('caseload data'!$C:$C,'divisional &amp; regional caseload%'!B99,'caseload data'!V:V)</f>
        <v>0</v>
      </c>
      <c r="Q99" s="532"/>
      <c r="R99" s="533"/>
      <c r="T99" s="142">
        <f>HLOOKUP($B$5,Region_Table,29,0)</f>
        <v>0</v>
      </c>
      <c r="U99" s="528" t="s">
        <v>1122</v>
      </c>
      <c r="V99" s="529"/>
      <c r="W99" s="529"/>
      <c r="X99" s="529"/>
      <c r="Y99" s="529"/>
      <c r="Z99" s="529"/>
      <c r="AA99" s="529"/>
      <c r="AB99" s="529"/>
      <c r="AC99" s="529"/>
      <c r="AD99" s="529"/>
      <c r="AE99" s="530"/>
      <c r="AF99" s="530"/>
      <c r="AG99" s="531"/>
      <c r="AH99" s="515">
        <f>SUMIF('caseload data'!$C:$C,'divisional &amp; regional caseload%'!T99,'caseload data'!V:V)</f>
        <v>0</v>
      </c>
      <c r="AI99" s="532"/>
      <c r="AJ99" s="533"/>
    </row>
    <row r="100" spans="2:36" x14ac:dyDescent="0.25">
      <c r="B100" s="95" t="s">
        <v>1023</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c r="T100" s="95" t="s">
        <v>1023</v>
      </c>
      <c r="U100" s="38" t="s">
        <v>879</v>
      </c>
      <c r="V100" s="38" t="s">
        <v>880</v>
      </c>
      <c r="W100" s="38" t="s">
        <v>881</v>
      </c>
      <c r="X100" s="38" t="s">
        <v>882</v>
      </c>
      <c r="Y100" s="38" t="s">
        <v>883</v>
      </c>
      <c r="Z100" s="38" t="s">
        <v>884</v>
      </c>
      <c r="AA100" s="38" t="s">
        <v>885</v>
      </c>
      <c r="AB100" s="38" t="s">
        <v>886</v>
      </c>
      <c r="AC100" s="38" t="s">
        <v>887</v>
      </c>
      <c r="AD100" s="38" t="s">
        <v>888</v>
      </c>
      <c r="AE100" s="38" t="s">
        <v>889</v>
      </c>
      <c r="AF100" s="38" t="s">
        <v>890</v>
      </c>
      <c r="AG100" s="38" t="s">
        <v>891</v>
      </c>
      <c r="AH100" s="38" t="s">
        <v>892</v>
      </c>
      <c r="AI100" s="38" t="s">
        <v>893</v>
      </c>
      <c r="AJ100" s="38" t="s">
        <v>894</v>
      </c>
    </row>
    <row r="101" spans="2:36" x14ac:dyDescent="0.25">
      <c r="B101" s="96" t="s">
        <v>1019</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1019</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25">
      <c r="B102" s="97" t="s">
        <v>1024</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1024</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25">
      <c r="B103" s="97" t="s">
        <v>1025</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1025</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25">
      <c r="B104" s="98" t="s">
        <v>1026</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1026</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4" priority="1007" operator="equal">
      <formula>0</formula>
    </cfRule>
    <cfRule type="cellIs" dxfId="4093" priority="1008" operator="notEqual">
      <formula>0</formula>
    </cfRule>
  </conditionalFormatting>
  <conditionalFormatting sqref="C10">
    <cfRule type="cellIs" dxfId="4092" priority="1006" operator="equal">
      <formula>1</formula>
    </cfRule>
  </conditionalFormatting>
  <conditionalFormatting sqref="D11:D12">
    <cfRule type="cellIs" dxfId="4091" priority="1004" operator="equal">
      <formula>0</formula>
    </cfRule>
    <cfRule type="cellIs" dxfId="4090" priority="1005" operator="notEqual">
      <formula>0</formula>
    </cfRule>
  </conditionalFormatting>
  <conditionalFormatting sqref="D10">
    <cfRule type="cellIs" dxfId="4089" priority="1003" operator="equal">
      <formula>1</formula>
    </cfRule>
  </conditionalFormatting>
  <conditionalFormatting sqref="E11:E12">
    <cfRule type="cellIs" dxfId="4088" priority="1001" operator="equal">
      <formula>0</formula>
    </cfRule>
    <cfRule type="cellIs" dxfId="4087" priority="1002" operator="notEqual">
      <formula>0</formula>
    </cfRule>
  </conditionalFormatting>
  <conditionalFormatting sqref="E10">
    <cfRule type="cellIs" dxfId="4086" priority="1000" operator="equal">
      <formula>1</formula>
    </cfRule>
  </conditionalFormatting>
  <conditionalFormatting sqref="F11:F12">
    <cfRule type="cellIs" dxfId="4085" priority="998" operator="equal">
      <formula>0</formula>
    </cfRule>
    <cfRule type="cellIs" dxfId="4084" priority="999" operator="notEqual">
      <formula>0</formula>
    </cfRule>
  </conditionalFormatting>
  <conditionalFormatting sqref="F10">
    <cfRule type="cellIs" dxfId="4083" priority="997" operator="equal">
      <formula>1</formula>
    </cfRule>
  </conditionalFormatting>
  <conditionalFormatting sqref="G11:G12">
    <cfRule type="cellIs" dxfId="4082" priority="995" operator="equal">
      <formula>0</formula>
    </cfRule>
    <cfRule type="cellIs" dxfId="4081" priority="996" operator="notEqual">
      <formula>0</formula>
    </cfRule>
  </conditionalFormatting>
  <conditionalFormatting sqref="H11:H12">
    <cfRule type="cellIs" dxfId="4080" priority="993" operator="equal">
      <formula>0</formula>
    </cfRule>
    <cfRule type="cellIs" dxfId="4079" priority="994" operator="notEqual">
      <formula>0</formula>
    </cfRule>
  </conditionalFormatting>
  <conditionalFormatting sqref="I11:I12">
    <cfRule type="cellIs" dxfId="4078" priority="991" operator="equal">
      <formula>0</formula>
    </cfRule>
    <cfRule type="cellIs" dxfId="4077" priority="992" operator="notEqual">
      <formula>0</formula>
    </cfRule>
  </conditionalFormatting>
  <conditionalFormatting sqref="J11:J12">
    <cfRule type="cellIs" dxfId="4076" priority="989" operator="equal">
      <formula>0</formula>
    </cfRule>
    <cfRule type="cellIs" dxfId="4075" priority="990" operator="notEqual">
      <formula>0</formula>
    </cfRule>
  </conditionalFormatting>
  <conditionalFormatting sqref="O10">
    <cfRule type="cellIs" dxfId="4074" priority="987" operator="equal">
      <formula>0</formula>
    </cfRule>
    <cfRule type="cellIs" dxfId="4073" priority="988" operator="notEqual">
      <formula>0</formula>
    </cfRule>
  </conditionalFormatting>
  <conditionalFormatting sqref="O13">
    <cfRule type="cellIs" dxfId="4072" priority="985" operator="equal">
      <formula>0</formula>
    </cfRule>
    <cfRule type="cellIs" dxfId="4071" priority="986" operator="notEqual">
      <formula>0</formula>
    </cfRule>
  </conditionalFormatting>
  <conditionalFormatting sqref="P10">
    <cfRule type="cellIs" dxfId="4070" priority="983" operator="equal">
      <formula>0</formula>
    </cfRule>
    <cfRule type="cellIs" dxfId="4069" priority="984" operator="notEqual">
      <formula>0</formula>
    </cfRule>
  </conditionalFormatting>
  <conditionalFormatting sqref="P13">
    <cfRule type="cellIs" dxfId="4068" priority="981" operator="equal">
      <formula>0</formula>
    </cfRule>
    <cfRule type="cellIs" dxfId="4067" priority="982" operator="notEqual">
      <formula>0</formula>
    </cfRule>
  </conditionalFormatting>
  <conditionalFormatting sqref="Q10">
    <cfRule type="cellIs" dxfId="4066" priority="979" operator="equal">
      <formula>0</formula>
    </cfRule>
    <cfRule type="cellIs" dxfId="4065" priority="980" operator="notEqual">
      <formula>0</formula>
    </cfRule>
  </conditionalFormatting>
  <conditionalFormatting sqref="Q13">
    <cfRule type="cellIs" dxfId="4064" priority="977" operator="equal">
      <formula>0</formula>
    </cfRule>
    <cfRule type="cellIs" dxfId="4063" priority="978" operator="notEqual">
      <formula>0</formula>
    </cfRule>
  </conditionalFormatting>
  <conditionalFormatting sqref="R10">
    <cfRule type="cellIs" dxfId="4062" priority="975" operator="equal">
      <formula>0</formula>
    </cfRule>
    <cfRule type="cellIs" dxfId="4061" priority="976" operator="notEqual">
      <formula>0</formula>
    </cfRule>
  </conditionalFormatting>
  <conditionalFormatting sqref="R13">
    <cfRule type="cellIs" dxfId="4060" priority="973" operator="equal">
      <formula>0</formula>
    </cfRule>
    <cfRule type="cellIs" dxfId="4059" priority="974" operator="notEqual">
      <formula>0</formula>
    </cfRule>
  </conditionalFormatting>
  <conditionalFormatting sqref="C18:C19">
    <cfRule type="cellIs" dxfId="4058" priority="971" operator="equal">
      <formula>0</formula>
    </cfRule>
    <cfRule type="cellIs" dxfId="4057" priority="972" operator="notEqual">
      <formula>0</formula>
    </cfRule>
  </conditionalFormatting>
  <conditionalFormatting sqref="C17">
    <cfRule type="cellIs" dxfId="4056" priority="970" operator="equal">
      <formula>1</formula>
    </cfRule>
  </conditionalFormatting>
  <conditionalFormatting sqref="D18:D19">
    <cfRule type="cellIs" dxfId="4055" priority="968" operator="equal">
      <formula>0</formula>
    </cfRule>
    <cfRule type="cellIs" dxfId="4054" priority="969" operator="notEqual">
      <formula>0</formula>
    </cfRule>
  </conditionalFormatting>
  <conditionalFormatting sqref="D17">
    <cfRule type="cellIs" dxfId="4053" priority="967" operator="equal">
      <formula>1</formula>
    </cfRule>
  </conditionalFormatting>
  <conditionalFormatting sqref="E18:E19">
    <cfRule type="cellIs" dxfId="4052" priority="965" operator="equal">
      <formula>0</formula>
    </cfRule>
    <cfRule type="cellIs" dxfId="4051" priority="966" operator="notEqual">
      <formula>0</formula>
    </cfRule>
  </conditionalFormatting>
  <conditionalFormatting sqref="E17">
    <cfRule type="cellIs" dxfId="4050" priority="964" operator="equal">
      <formula>1</formula>
    </cfRule>
  </conditionalFormatting>
  <conditionalFormatting sqref="F18:F19">
    <cfRule type="cellIs" dxfId="4049" priority="962" operator="equal">
      <formula>0</formula>
    </cfRule>
    <cfRule type="cellIs" dxfId="4048" priority="963" operator="notEqual">
      <formula>0</formula>
    </cfRule>
  </conditionalFormatting>
  <conditionalFormatting sqref="F17">
    <cfRule type="cellIs" dxfId="4047" priority="961" operator="equal">
      <formula>1</formula>
    </cfRule>
  </conditionalFormatting>
  <conditionalFormatting sqref="G18:G19">
    <cfRule type="cellIs" dxfId="4046" priority="959" operator="equal">
      <formula>0</formula>
    </cfRule>
    <cfRule type="cellIs" dxfId="4045" priority="960" operator="notEqual">
      <formula>0</formula>
    </cfRule>
  </conditionalFormatting>
  <conditionalFormatting sqref="H18:H19">
    <cfRule type="cellIs" dxfId="4044" priority="957" operator="equal">
      <formula>0</formula>
    </cfRule>
    <cfRule type="cellIs" dxfId="4043" priority="958" operator="notEqual">
      <formula>0</formula>
    </cfRule>
  </conditionalFormatting>
  <conditionalFormatting sqref="I18:I19">
    <cfRule type="cellIs" dxfId="4042" priority="955" operator="equal">
      <formula>0</formula>
    </cfRule>
    <cfRule type="cellIs" dxfId="4041" priority="956" operator="notEqual">
      <formula>0</formula>
    </cfRule>
  </conditionalFormatting>
  <conditionalFormatting sqref="J18:J19">
    <cfRule type="cellIs" dxfId="4040" priority="953" operator="equal">
      <formula>0</formula>
    </cfRule>
    <cfRule type="cellIs" dxfId="4039" priority="954" operator="notEqual">
      <formula>0</formula>
    </cfRule>
  </conditionalFormatting>
  <conditionalFormatting sqref="O17">
    <cfRule type="cellIs" dxfId="4038" priority="951" operator="equal">
      <formula>0</formula>
    </cfRule>
    <cfRule type="cellIs" dxfId="4037" priority="952" operator="notEqual">
      <formula>0</formula>
    </cfRule>
  </conditionalFormatting>
  <conditionalFormatting sqref="O20">
    <cfRule type="cellIs" dxfId="4036" priority="949" operator="equal">
      <formula>0</formula>
    </cfRule>
    <cfRule type="cellIs" dxfId="4035" priority="950" operator="notEqual">
      <formula>0</formula>
    </cfRule>
  </conditionalFormatting>
  <conditionalFormatting sqref="P17">
    <cfRule type="cellIs" dxfId="4034" priority="947" operator="equal">
      <formula>0</formula>
    </cfRule>
    <cfRule type="cellIs" dxfId="4033" priority="948" operator="notEqual">
      <formula>0</formula>
    </cfRule>
  </conditionalFormatting>
  <conditionalFormatting sqref="P20">
    <cfRule type="cellIs" dxfId="4032" priority="945" operator="equal">
      <formula>0</formula>
    </cfRule>
    <cfRule type="cellIs" dxfId="4031" priority="946" operator="notEqual">
      <formula>0</formula>
    </cfRule>
  </conditionalFormatting>
  <conditionalFormatting sqref="Q17">
    <cfRule type="cellIs" dxfId="4030" priority="943" operator="equal">
      <formula>0</formula>
    </cfRule>
    <cfRule type="cellIs" dxfId="4029" priority="944" operator="notEqual">
      <formula>0</formula>
    </cfRule>
  </conditionalFormatting>
  <conditionalFormatting sqref="Q20">
    <cfRule type="cellIs" dxfId="4028" priority="941" operator="equal">
      <formula>0</formula>
    </cfRule>
    <cfRule type="cellIs" dxfId="4027" priority="942" operator="notEqual">
      <formula>0</formula>
    </cfRule>
  </conditionalFormatting>
  <conditionalFormatting sqref="R17">
    <cfRule type="cellIs" dxfId="4026" priority="939" operator="equal">
      <formula>0</formula>
    </cfRule>
    <cfRule type="cellIs" dxfId="4025" priority="940" operator="notEqual">
      <formula>0</formula>
    </cfRule>
  </conditionalFormatting>
  <conditionalFormatting sqref="R20">
    <cfRule type="cellIs" dxfId="4024" priority="937" operator="equal">
      <formula>0</formula>
    </cfRule>
    <cfRule type="cellIs" dxfId="4023" priority="938" operator="notEqual">
      <formula>0</formula>
    </cfRule>
  </conditionalFormatting>
  <conditionalFormatting sqref="C25:C26">
    <cfRule type="cellIs" dxfId="4022" priority="935" operator="equal">
      <formula>0</formula>
    </cfRule>
    <cfRule type="cellIs" dxfId="4021" priority="936" operator="notEqual">
      <formula>0</formula>
    </cfRule>
  </conditionalFormatting>
  <conditionalFormatting sqref="C24">
    <cfRule type="cellIs" dxfId="4020" priority="934" operator="equal">
      <formula>1</formula>
    </cfRule>
  </conditionalFormatting>
  <conditionalFormatting sqref="D25:D26">
    <cfRule type="cellIs" dxfId="4019" priority="932" operator="equal">
      <formula>0</formula>
    </cfRule>
    <cfRule type="cellIs" dxfId="4018" priority="933" operator="notEqual">
      <formula>0</formula>
    </cfRule>
  </conditionalFormatting>
  <conditionalFormatting sqref="D24">
    <cfRule type="cellIs" dxfId="4017" priority="931" operator="equal">
      <formula>1</formula>
    </cfRule>
  </conditionalFormatting>
  <conditionalFormatting sqref="E25:E26">
    <cfRule type="cellIs" dxfId="4016" priority="929" operator="equal">
      <formula>0</formula>
    </cfRule>
    <cfRule type="cellIs" dxfId="4015" priority="930" operator="notEqual">
      <formula>0</formula>
    </cfRule>
  </conditionalFormatting>
  <conditionalFormatting sqref="E24">
    <cfRule type="cellIs" dxfId="4014" priority="928" operator="equal">
      <formula>1</formula>
    </cfRule>
  </conditionalFormatting>
  <conditionalFormatting sqref="F25:F26">
    <cfRule type="cellIs" dxfId="4013" priority="926" operator="equal">
      <formula>0</formula>
    </cfRule>
    <cfRule type="cellIs" dxfId="4012" priority="927" operator="notEqual">
      <formula>0</formula>
    </cfRule>
  </conditionalFormatting>
  <conditionalFormatting sqref="F24">
    <cfRule type="cellIs" dxfId="4011" priority="925" operator="equal">
      <formula>1</formula>
    </cfRule>
  </conditionalFormatting>
  <conditionalFormatting sqref="G25:G26">
    <cfRule type="cellIs" dxfId="4010" priority="923" operator="equal">
      <formula>0</formula>
    </cfRule>
    <cfRule type="cellIs" dxfId="4009" priority="924" operator="notEqual">
      <formula>0</formula>
    </cfRule>
  </conditionalFormatting>
  <conditionalFormatting sqref="H25:H26">
    <cfRule type="cellIs" dxfId="4008" priority="921" operator="equal">
      <formula>0</formula>
    </cfRule>
    <cfRule type="cellIs" dxfId="4007" priority="922" operator="notEqual">
      <formula>0</formula>
    </cfRule>
  </conditionalFormatting>
  <conditionalFormatting sqref="I25:I26">
    <cfRule type="cellIs" dxfId="4006" priority="919" operator="equal">
      <formula>0</formula>
    </cfRule>
    <cfRule type="cellIs" dxfId="4005" priority="920" operator="notEqual">
      <formula>0</formula>
    </cfRule>
  </conditionalFormatting>
  <conditionalFormatting sqref="J25:J26">
    <cfRule type="cellIs" dxfId="4004" priority="917" operator="equal">
      <formula>0</formula>
    </cfRule>
    <cfRule type="cellIs" dxfId="4003" priority="918" operator="notEqual">
      <formula>0</formula>
    </cfRule>
  </conditionalFormatting>
  <conditionalFormatting sqref="O24">
    <cfRule type="cellIs" dxfId="4002" priority="915" operator="equal">
      <formula>0</formula>
    </cfRule>
    <cfRule type="cellIs" dxfId="4001" priority="916" operator="notEqual">
      <formula>0</formula>
    </cfRule>
  </conditionalFormatting>
  <conditionalFormatting sqref="O27">
    <cfRule type="cellIs" dxfId="4000" priority="913" operator="equal">
      <formula>0</formula>
    </cfRule>
    <cfRule type="cellIs" dxfId="3999" priority="914" operator="notEqual">
      <formula>0</formula>
    </cfRule>
  </conditionalFormatting>
  <conditionalFormatting sqref="P24">
    <cfRule type="cellIs" dxfId="3998" priority="911" operator="equal">
      <formula>0</formula>
    </cfRule>
    <cfRule type="cellIs" dxfId="3997" priority="912" operator="notEqual">
      <formula>0</formula>
    </cfRule>
  </conditionalFormatting>
  <conditionalFormatting sqref="P27">
    <cfRule type="cellIs" dxfId="3996" priority="909" operator="equal">
      <formula>0</formula>
    </cfRule>
    <cfRule type="cellIs" dxfId="3995" priority="910" operator="notEqual">
      <formula>0</formula>
    </cfRule>
  </conditionalFormatting>
  <conditionalFormatting sqref="Q24">
    <cfRule type="cellIs" dxfId="3994" priority="907" operator="equal">
      <formula>0</formula>
    </cfRule>
    <cfRule type="cellIs" dxfId="3993" priority="908" operator="notEqual">
      <formula>0</formula>
    </cfRule>
  </conditionalFormatting>
  <conditionalFormatting sqref="Q27">
    <cfRule type="cellIs" dxfId="3992" priority="905" operator="equal">
      <formula>0</formula>
    </cfRule>
    <cfRule type="cellIs" dxfId="3991" priority="906" operator="notEqual">
      <formula>0</formula>
    </cfRule>
  </conditionalFormatting>
  <conditionalFormatting sqref="R24">
    <cfRule type="cellIs" dxfId="3990" priority="903" operator="equal">
      <formula>0</formula>
    </cfRule>
    <cfRule type="cellIs" dxfId="3989" priority="904" operator="notEqual">
      <formula>0</formula>
    </cfRule>
  </conditionalFormatting>
  <conditionalFormatting sqref="R27">
    <cfRule type="cellIs" dxfId="3988" priority="901" operator="equal">
      <formula>0</formula>
    </cfRule>
    <cfRule type="cellIs" dxfId="3987" priority="902" operator="notEqual">
      <formula>0</formula>
    </cfRule>
  </conditionalFormatting>
  <conditionalFormatting sqref="C32:C33">
    <cfRule type="cellIs" dxfId="3986" priority="899" operator="equal">
      <formula>0</formula>
    </cfRule>
    <cfRule type="cellIs" dxfId="3985" priority="900" operator="notEqual">
      <formula>0</formula>
    </cfRule>
  </conditionalFormatting>
  <conditionalFormatting sqref="C31">
    <cfRule type="cellIs" dxfId="3984" priority="898" operator="equal">
      <formula>1</formula>
    </cfRule>
  </conditionalFormatting>
  <conditionalFormatting sqref="D32:D33">
    <cfRule type="cellIs" dxfId="3983" priority="896" operator="equal">
      <formula>0</formula>
    </cfRule>
    <cfRule type="cellIs" dxfId="3982" priority="897" operator="notEqual">
      <formula>0</formula>
    </cfRule>
  </conditionalFormatting>
  <conditionalFormatting sqref="D31">
    <cfRule type="cellIs" dxfId="3981" priority="895" operator="equal">
      <formula>1</formula>
    </cfRule>
  </conditionalFormatting>
  <conditionalFormatting sqref="E32:E33">
    <cfRule type="cellIs" dxfId="3980" priority="893" operator="equal">
      <formula>0</formula>
    </cfRule>
    <cfRule type="cellIs" dxfId="3979" priority="894" operator="notEqual">
      <formula>0</formula>
    </cfRule>
  </conditionalFormatting>
  <conditionalFormatting sqref="E31">
    <cfRule type="cellIs" dxfId="3978" priority="892" operator="equal">
      <formula>1</formula>
    </cfRule>
  </conditionalFormatting>
  <conditionalFormatting sqref="F32:F33">
    <cfRule type="cellIs" dxfId="3977" priority="890" operator="equal">
      <formula>0</formula>
    </cfRule>
    <cfRule type="cellIs" dxfId="3976" priority="891" operator="notEqual">
      <formula>0</formula>
    </cfRule>
  </conditionalFormatting>
  <conditionalFormatting sqref="F31">
    <cfRule type="cellIs" dxfId="3975" priority="889" operator="equal">
      <formula>1</formula>
    </cfRule>
  </conditionalFormatting>
  <conditionalFormatting sqref="G32:G33">
    <cfRule type="cellIs" dxfId="3974" priority="887" operator="equal">
      <formula>0</formula>
    </cfRule>
    <cfRule type="cellIs" dxfId="3973" priority="888" operator="notEqual">
      <formula>0</formula>
    </cfRule>
  </conditionalFormatting>
  <conditionalFormatting sqref="H32:H33">
    <cfRule type="cellIs" dxfId="3972" priority="885" operator="equal">
      <formula>0</formula>
    </cfRule>
    <cfRule type="cellIs" dxfId="3971" priority="886" operator="notEqual">
      <formula>0</formula>
    </cfRule>
  </conditionalFormatting>
  <conditionalFormatting sqref="I32:I33">
    <cfRule type="cellIs" dxfId="3970" priority="883" operator="equal">
      <formula>0</formula>
    </cfRule>
    <cfRule type="cellIs" dxfId="3969" priority="884" operator="notEqual">
      <formula>0</formula>
    </cfRule>
  </conditionalFormatting>
  <conditionalFormatting sqref="J32:J33">
    <cfRule type="cellIs" dxfId="3968" priority="881" operator="equal">
      <formula>0</formula>
    </cfRule>
    <cfRule type="cellIs" dxfId="3967" priority="882" operator="notEqual">
      <formula>0</formula>
    </cfRule>
  </conditionalFormatting>
  <conditionalFormatting sqref="O31">
    <cfRule type="cellIs" dxfId="3966" priority="879" operator="equal">
      <formula>0</formula>
    </cfRule>
    <cfRule type="cellIs" dxfId="3965" priority="880" operator="notEqual">
      <formula>0</formula>
    </cfRule>
  </conditionalFormatting>
  <conditionalFormatting sqref="O34">
    <cfRule type="cellIs" dxfId="3964" priority="877" operator="equal">
      <formula>0</formula>
    </cfRule>
    <cfRule type="cellIs" dxfId="3963" priority="878" operator="notEqual">
      <formula>0</formula>
    </cfRule>
  </conditionalFormatting>
  <conditionalFormatting sqref="P31">
    <cfRule type="cellIs" dxfId="3962" priority="875" operator="equal">
      <formula>0</formula>
    </cfRule>
    <cfRule type="cellIs" dxfId="3961" priority="876" operator="notEqual">
      <formula>0</formula>
    </cfRule>
  </conditionalFormatting>
  <conditionalFormatting sqref="P34">
    <cfRule type="cellIs" dxfId="3960" priority="873" operator="equal">
      <formula>0</formula>
    </cfRule>
    <cfRule type="cellIs" dxfId="3959" priority="874" operator="notEqual">
      <formula>0</formula>
    </cfRule>
  </conditionalFormatting>
  <conditionalFormatting sqref="Q31">
    <cfRule type="cellIs" dxfId="3958" priority="871" operator="equal">
      <formula>0</formula>
    </cfRule>
    <cfRule type="cellIs" dxfId="3957" priority="872" operator="notEqual">
      <formula>0</formula>
    </cfRule>
  </conditionalFormatting>
  <conditionalFormatting sqref="Q34">
    <cfRule type="cellIs" dxfId="3956" priority="869" operator="equal">
      <formula>0</formula>
    </cfRule>
    <cfRule type="cellIs" dxfId="3955" priority="870" operator="notEqual">
      <formula>0</formula>
    </cfRule>
  </conditionalFormatting>
  <conditionalFormatting sqref="R31">
    <cfRule type="cellIs" dxfId="3954" priority="867" operator="equal">
      <formula>0</formula>
    </cfRule>
    <cfRule type="cellIs" dxfId="3953" priority="868" operator="notEqual">
      <formula>0</formula>
    </cfRule>
  </conditionalFormatting>
  <conditionalFormatting sqref="R34">
    <cfRule type="cellIs" dxfId="3952" priority="865" operator="equal">
      <formula>0</formula>
    </cfRule>
    <cfRule type="cellIs" dxfId="3951" priority="866" operator="notEqual">
      <formula>0</formula>
    </cfRule>
  </conditionalFormatting>
  <conditionalFormatting sqref="C39:C40">
    <cfRule type="cellIs" dxfId="3950" priority="863" operator="equal">
      <formula>0</formula>
    </cfRule>
    <cfRule type="cellIs" dxfId="3949" priority="864" operator="notEqual">
      <formula>0</formula>
    </cfRule>
  </conditionalFormatting>
  <conditionalFormatting sqref="C38">
    <cfRule type="cellIs" dxfId="3948" priority="862" operator="equal">
      <formula>1</formula>
    </cfRule>
  </conditionalFormatting>
  <conditionalFormatting sqref="D39:D40">
    <cfRule type="cellIs" dxfId="3947" priority="860" operator="equal">
      <formula>0</formula>
    </cfRule>
    <cfRule type="cellIs" dxfId="3946" priority="861" operator="notEqual">
      <formula>0</formula>
    </cfRule>
  </conditionalFormatting>
  <conditionalFormatting sqref="D38">
    <cfRule type="cellIs" dxfId="3945" priority="859" operator="equal">
      <formula>1</formula>
    </cfRule>
  </conditionalFormatting>
  <conditionalFormatting sqref="E39:E40">
    <cfRule type="cellIs" dxfId="3944" priority="857" operator="equal">
      <formula>0</formula>
    </cfRule>
    <cfRule type="cellIs" dxfId="3943" priority="858" operator="notEqual">
      <formula>0</formula>
    </cfRule>
  </conditionalFormatting>
  <conditionalFormatting sqref="E38">
    <cfRule type="cellIs" dxfId="3942" priority="856" operator="equal">
      <formula>1</formula>
    </cfRule>
  </conditionalFormatting>
  <conditionalFormatting sqref="F39:F40">
    <cfRule type="cellIs" dxfId="3941" priority="854" operator="equal">
      <formula>0</formula>
    </cfRule>
    <cfRule type="cellIs" dxfId="3940" priority="855" operator="notEqual">
      <formula>0</formula>
    </cfRule>
  </conditionalFormatting>
  <conditionalFormatting sqref="F38">
    <cfRule type="cellIs" dxfId="3939" priority="853" operator="equal">
      <formula>1</formula>
    </cfRule>
  </conditionalFormatting>
  <conditionalFormatting sqref="G39:G40">
    <cfRule type="cellIs" dxfId="3938" priority="851" operator="equal">
      <formula>0</formula>
    </cfRule>
    <cfRule type="cellIs" dxfId="3937" priority="852" operator="notEqual">
      <formula>0</formula>
    </cfRule>
  </conditionalFormatting>
  <conditionalFormatting sqref="H39:H40">
    <cfRule type="cellIs" dxfId="3936" priority="849" operator="equal">
      <formula>0</formula>
    </cfRule>
    <cfRule type="cellIs" dxfId="3935" priority="850" operator="notEqual">
      <formula>0</formula>
    </cfRule>
  </conditionalFormatting>
  <conditionalFormatting sqref="I39:I40">
    <cfRule type="cellIs" dxfId="3934" priority="847" operator="equal">
      <formula>0</formula>
    </cfRule>
    <cfRule type="cellIs" dxfId="3933" priority="848" operator="notEqual">
      <formula>0</formula>
    </cfRule>
  </conditionalFormatting>
  <conditionalFormatting sqref="J39:J40">
    <cfRule type="cellIs" dxfId="3932" priority="845" operator="equal">
      <formula>0</formula>
    </cfRule>
    <cfRule type="cellIs" dxfId="3931" priority="846" operator="notEqual">
      <formula>0</formula>
    </cfRule>
  </conditionalFormatting>
  <conditionalFormatting sqref="O38">
    <cfRule type="cellIs" dxfId="3930" priority="843" operator="equal">
      <formula>0</formula>
    </cfRule>
    <cfRule type="cellIs" dxfId="3929" priority="844" operator="notEqual">
      <formula>0</formula>
    </cfRule>
  </conditionalFormatting>
  <conditionalFormatting sqref="O41">
    <cfRule type="cellIs" dxfId="3928" priority="841" operator="equal">
      <formula>0</formula>
    </cfRule>
    <cfRule type="cellIs" dxfId="3927" priority="842" operator="notEqual">
      <formula>0</formula>
    </cfRule>
  </conditionalFormatting>
  <conditionalFormatting sqref="P38">
    <cfRule type="cellIs" dxfId="3926" priority="839" operator="equal">
      <formula>0</formula>
    </cfRule>
    <cfRule type="cellIs" dxfId="3925" priority="840" operator="notEqual">
      <formula>0</formula>
    </cfRule>
  </conditionalFormatting>
  <conditionalFormatting sqref="P41">
    <cfRule type="cellIs" dxfId="3924" priority="837" operator="equal">
      <formula>0</formula>
    </cfRule>
    <cfRule type="cellIs" dxfId="3923" priority="838" operator="notEqual">
      <formula>0</formula>
    </cfRule>
  </conditionalFormatting>
  <conditionalFormatting sqref="Q38">
    <cfRule type="cellIs" dxfId="3922" priority="835" operator="equal">
      <formula>0</formula>
    </cfRule>
    <cfRule type="cellIs" dxfId="3921" priority="836" operator="notEqual">
      <formula>0</formula>
    </cfRule>
  </conditionalFormatting>
  <conditionalFormatting sqref="Q41">
    <cfRule type="cellIs" dxfId="3920" priority="833" operator="equal">
      <formula>0</formula>
    </cfRule>
    <cfRule type="cellIs" dxfId="3919" priority="834" operator="notEqual">
      <formula>0</formula>
    </cfRule>
  </conditionalFormatting>
  <conditionalFormatting sqref="R38">
    <cfRule type="cellIs" dxfId="3918" priority="831" operator="equal">
      <formula>0</formula>
    </cfRule>
    <cfRule type="cellIs" dxfId="3917" priority="832" operator="notEqual">
      <formula>0</formula>
    </cfRule>
  </conditionalFormatting>
  <conditionalFormatting sqref="R41">
    <cfRule type="cellIs" dxfId="3916" priority="829" operator="equal">
      <formula>0</formula>
    </cfRule>
    <cfRule type="cellIs" dxfId="3915" priority="830" operator="notEqual">
      <formula>0</formula>
    </cfRule>
  </conditionalFormatting>
  <conditionalFormatting sqref="C46:C47">
    <cfRule type="cellIs" dxfId="3914" priority="827" operator="equal">
      <formula>0</formula>
    </cfRule>
    <cfRule type="cellIs" dxfId="3913" priority="828" operator="notEqual">
      <formula>0</formula>
    </cfRule>
  </conditionalFormatting>
  <conditionalFormatting sqref="C45">
    <cfRule type="cellIs" dxfId="3912" priority="826" operator="equal">
      <formula>1</formula>
    </cfRule>
  </conditionalFormatting>
  <conditionalFormatting sqref="D46:D47">
    <cfRule type="cellIs" dxfId="3911" priority="824" operator="equal">
      <formula>0</formula>
    </cfRule>
    <cfRule type="cellIs" dxfId="3910" priority="825" operator="notEqual">
      <formula>0</formula>
    </cfRule>
  </conditionalFormatting>
  <conditionalFormatting sqref="D45">
    <cfRule type="cellIs" dxfId="3909" priority="823" operator="equal">
      <formula>1</formula>
    </cfRule>
  </conditionalFormatting>
  <conditionalFormatting sqref="E46:E47">
    <cfRule type="cellIs" dxfId="3908" priority="821" operator="equal">
      <formula>0</formula>
    </cfRule>
    <cfRule type="cellIs" dxfId="3907" priority="822" operator="notEqual">
      <formula>0</formula>
    </cfRule>
  </conditionalFormatting>
  <conditionalFormatting sqref="E45">
    <cfRule type="cellIs" dxfId="3906" priority="820" operator="equal">
      <formula>1</formula>
    </cfRule>
  </conditionalFormatting>
  <conditionalFormatting sqref="F46:F47">
    <cfRule type="cellIs" dxfId="3905" priority="818" operator="equal">
      <formula>0</formula>
    </cfRule>
    <cfRule type="cellIs" dxfId="3904" priority="819" operator="notEqual">
      <formula>0</formula>
    </cfRule>
  </conditionalFormatting>
  <conditionalFormatting sqref="F45">
    <cfRule type="cellIs" dxfId="3903" priority="817" operator="equal">
      <formula>1</formula>
    </cfRule>
  </conditionalFormatting>
  <conditionalFormatting sqref="G46:G47">
    <cfRule type="cellIs" dxfId="3902" priority="815" operator="equal">
      <formula>0</formula>
    </cfRule>
    <cfRule type="cellIs" dxfId="3901" priority="816" operator="notEqual">
      <formula>0</formula>
    </cfRule>
  </conditionalFormatting>
  <conditionalFormatting sqref="H46:H47">
    <cfRule type="cellIs" dxfId="3900" priority="813" operator="equal">
      <formula>0</formula>
    </cfRule>
    <cfRule type="cellIs" dxfId="3899" priority="814" operator="notEqual">
      <formula>0</formula>
    </cfRule>
  </conditionalFormatting>
  <conditionalFormatting sqref="I46:I47">
    <cfRule type="cellIs" dxfId="3898" priority="811" operator="equal">
      <formula>0</formula>
    </cfRule>
    <cfRule type="cellIs" dxfId="3897" priority="812" operator="notEqual">
      <formula>0</formula>
    </cfRule>
  </conditionalFormatting>
  <conditionalFormatting sqref="J46:J47">
    <cfRule type="cellIs" dxfId="3896" priority="809" operator="equal">
      <formula>0</formula>
    </cfRule>
    <cfRule type="cellIs" dxfId="3895" priority="810" operator="notEqual">
      <formula>0</formula>
    </cfRule>
  </conditionalFormatting>
  <conditionalFormatting sqref="O45">
    <cfRule type="cellIs" dxfId="3894" priority="807" operator="equal">
      <formula>0</formula>
    </cfRule>
    <cfRule type="cellIs" dxfId="3893" priority="808" operator="notEqual">
      <formula>0</formula>
    </cfRule>
  </conditionalFormatting>
  <conditionalFormatting sqref="O48">
    <cfRule type="cellIs" dxfId="3892" priority="805" operator="equal">
      <formula>0</formula>
    </cfRule>
    <cfRule type="cellIs" dxfId="3891" priority="806" operator="notEqual">
      <formula>0</formula>
    </cfRule>
  </conditionalFormatting>
  <conditionalFormatting sqref="P45">
    <cfRule type="cellIs" dxfId="3890" priority="803" operator="equal">
      <formula>0</formula>
    </cfRule>
    <cfRule type="cellIs" dxfId="3889" priority="804" operator="notEqual">
      <formula>0</formula>
    </cfRule>
  </conditionalFormatting>
  <conditionalFormatting sqref="P48">
    <cfRule type="cellIs" dxfId="3888" priority="801" operator="equal">
      <formula>0</formula>
    </cfRule>
    <cfRule type="cellIs" dxfId="3887" priority="802" operator="notEqual">
      <formula>0</formula>
    </cfRule>
  </conditionalFormatting>
  <conditionalFormatting sqref="Q45">
    <cfRule type="cellIs" dxfId="3886" priority="799" operator="equal">
      <formula>0</formula>
    </cfRule>
    <cfRule type="cellIs" dxfId="3885" priority="800" operator="notEqual">
      <formula>0</formula>
    </cfRule>
  </conditionalFormatting>
  <conditionalFormatting sqref="Q48">
    <cfRule type="cellIs" dxfId="3884" priority="797" operator="equal">
      <formula>0</formula>
    </cfRule>
    <cfRule type="cellIs" dxfId="3883" priority="798" operator="notEqual">
      <formula>0</formula>
    </cfRule>
  </conditionalFormatting>
  <conditionalFormatting sqref="R45">
    <cfRule type="cellIs" dxfId="3882" priority="795" operator="equal">
      <formula>0</formula>
    </cfRule>
    <cfRule type="cellIs" dxfId="3881" priority="796" operator="notEqual">
      <formula>0</formula>
    </cfRule>
  </conditionalFormatting>
  <conditionalFormatting sqref="R48">
    <cfRule type="cellIs" dxfId="3880" priority="793" operator="equal">
      <formula>0</formula>
    </cfRule>
    <cfRule type="cellIs" dxfId="3879" priority="794" operator="notEqual">
      <formula>0</formula>
    </cfRule>
  </conditionalFormatting>
  <conditionalFormatting sqref="C53:C54">
    <cfRule type="cellIs" dxfId="3878" priority="791" operator="equal">
      <formula>0</formula>
    </cfRule>
    <cfRule type="cellIs" dxfId="3877" priority="792" operator="notEqual">
      <formula>0</formula>
    </cfRule>
  </conditionalFormatting>
  <conditionalFormatting sqref="C52">
    <cfRule type="cellIs" dxfId="3876" priority="790" operator="equal">
      <formula>1</formula>
    </cfRule>
  </conditionalFormatting>
  <conditionalFormatting sqref="D53:D54">
    <cfRule type="cellIs" dxfId="3875" priority="788" operator="equal">
      <formula>0</formula>
    </cfRule>
    <cfRule type="cellIs" dxfId="3874" priority="789" operator="notEqual">
      <formula>0</formula>
    </cfRule>
  </conditionalFormatting>
  <conditionalFormatting sqref="D52">
    <cfRule type="cellIs" dxfId="3873" priority="787" operator="equal">
      <formula>1</formula>
    </cfRule>
  </conditionalFormatting>
  <conditionalFormatting sqref="E53:E54">
    <cfRule type="cellIs" dxfId="3872" priority="785" operator="equal">
      <formula>0</formula>
    </cfRule>
    <cfRule type="cellIs" dxfId="3871" priority="786" operator="notEqual">
      <formula>0</formula>
    </cfRule>
  </conditionalFormatting>
  <conditionalFormatting sqref="E52">
    <cfRule type="cellIs" dxfId="3870" priority="784" operator="equal">
      <formula>1</formula>
    </cfRule>
  </conditionalFormatting>
  <conditionalFormatting sqref="F53:F54">
    <cfRule type="cellIs" dxfId="3869" priority="782" operator="equal">
      <formula>0</formula>
    </cfRule>
    <cfRule type="cellIs" dxfId="3868" priority="783" operator="notEqual">
      <formula>0</formula>
    </cfRule>
  </conditionalFormatting>
  <conditionalFormatting sqref="F52">
    <cfRule type="cellIs" dxfId="3867" priority="781" operator="equal">
      <formula>1</formula>
    </cfRule>
  </conditionalFormatting>
  <conditionalFormatting sqref="G53:G54">
    <cfRule type="cellIs" dxfId="3866" priority="779" operator="equal">
      <formula>0</formula>
    </cfRule>
    <cfRule type="cellIs" dxfId="3865" priority="780" operator="notEqual">
      <formula>0</formula>
    </cfRule>
  </conditionalFormatting>
  <conditionalFormatting sqref="H53:H54">
    <cfRule type="cellIs" dxfId="3864" priority="777" operator="equal">
      <formula>0</formula>
    </cfRule>
    <cfRule type="cellIs" dxfId="3863" priority="778" operator="notEqual">
      <formula>0</formula>
    </cfRule>
  </conditionalFormatting>
  <conditionalFormatting sqref="I53:I54">
    <cfRule type="cellIs" dxfId="3862" priority="775" operator="equal">
      <formula>0</formula>
    </cfRule>
    <cfRule type="cellIs" dxfId="3861" priority="776" operator="notEqual">
      <formula>0</formula>
    </cfRule>
  </conditionalFormatting>
  <conditionalFormatting sqref="J53:J54">
    <cfRule type="cellIs" dxfId="3860" priority="773" operator="equal">
      <formula>0</formula>
    </cfRule>
    <cfRule type="cellIs" dxfId="3859" priority="774" operator="notEqual">
      <formula>0</formula>
    </cfRule>
  </conditionalFormatting>
  <conditionalFormatting sqref="O52">
    <cfRule type="cellIs" dxfId="3858" priority="771" operator="equal">
      <formula>0</formula>
    </cfRule>
    <cfRule type="cellIs" dxfId="3857" priority="772" operator="notEqual">
      <formula>0</formula>
    </cfRule>
  </conditionalFormatting>
  <conditionalFormatting sqref="O55">
    <cfRule type="cellIs" dxfId="3856" priority="769" operator="equal">
      <formula>0</formula>
    </cfRule>
    <cfRule type="cellIs" dxfId="3855" priority="770" operator="notEqual">
      <formula>0</formula>
    </cfRule>
  </conditionalFormatting>
  <conditionalFormatting sqref="P52">
    <cfRule type="cellIs" dxfId="3854" priority="767" operator="equal">
      <formula>0</formula>
    </cfRule>
    <cfRule type="cellIs" dxfId="3853" priority="768" operator="notEqual">
      <formula>0</formula>
    </cfRule>
  </conditionalFormatting>
  <conditionalFormatting sqref="P55">
    <cfRule type="cellIs" dxfId="3852" priority="765" operator="equal">
      <formula>0</formula>
    </cfRule>
    <cfRule type="cellIs" dxfId="3851" priority="766" operator="notEqual">
      <formula>0</formula>
    </cfRule>
  </conditionalFormatting>
  <conditionalFormatting sqref="Q52">
    <cfRule type="cellIs" dxfId="3850" priority="763" operator="equal">
      <formula>0</formula>
    </cfRule>
    <cfRule type="cellIs" dxfId="3849" priority="764" operator="notEqual">
      <formula>0</formula>
    </cfRule>
  </conditionalFormatting>
  <conditionalFormatting sqref="Q55">
    <cfRule type="cellIs" dxfId="3848" priority="761" operator="equal">
      <formula>0</formula>
    </cfRule>
    <cfRule type="cellIs" dxfId="3847" priority="762" operator="notEqual">
      <formula>0</formula>
    </cfRule>
  </conditionalFormatting>
  <conditionalFormatting sqref="R52">
    <cfRule type="cellIs" dxfId="3846" priority="759" operator="equal">
      <formula>0</formula>
    </cfRule>
    <cfRule type="cellIs" dxfId="3845" priority="760" operator="notEqual">
      <formula>0</formula>
    </cfRule>
  </conditionalFormatting>
  <conditionalFormatting sqref="R55">
    <cfRule type="cellIs" dxfId="3844" priority="757" operator="equal">
      <formula>0</formula>
    </cfRule>
    <cfRule type="cellIs" dxfId="3843" priority="758" operator="notEqual">
      <formula>0</formula>
    </cfRule>
  </conditionalFormatting>
  <conditionalFormatting sqref="C60:C61">
    <cfRule type="cellIs" dxfId="3842" priority="755" operator="equal">
      <formula>0</formula>
    </cfRule>
    <cfRule type="cellIs" dxfId="3841" priority="756" operator="notEqual">
      <formula>0</formula>
    </cfRule>
  </conditionalFormatting>
  <conditionalFormatting sqref="C59">
    <cfRule type="cellIs" dxfId="3840" priority="754" operator="equal">
      <formula>1</formula>
    </cfRule>
  </conditionalFormatting>
  <conditionalFormatting sqref="D60:D61">
    <cfRule type="cellIs" dxfId="3839" priority="752" operator="equal">
      <formula>0</formula>
    </cfRule>
    <cfRule type="cellIs" dxfId="3838" priority="753" operator="notEqual">
      <formula>0</formula>
    </cfRule>
  </conditionalFormatting>
  <conditionalFormatting sqref="D59">
    <cfRule type="cellIs" dxfId="3837" priority="751" operator="equal">
      <formula>1</formula>
    </cfRule>
  </conditionalFormatting>
  <conditionalFormatting sqref="E60:E61">
    <cfRule type="cellIs" dxfId="3836" priority="749" operator="equal">
      <formula>0</formula>
    </cfRule>
    <cfRule type="cellIs" dxfId="3835" priority="750" operator="notEqual">
      <formula>0</formula>
    </cfRule>
  </conditionalFormatting>
  <conditionalFormatting sqref="E59">
    <cfRule type="cellIs" dxfId="3834" priority="748" operator="equal">
      <formula>1</formula>
    </cfRule>
  </conditionalFormatting>
  <conditionalFormatting sqref="F60:F61">
    <cfRule type="cellIs" dxfId="3833" priority="746" operator="equal">
      <formula>0</formula>
    </cfRule>
    <cfRule type="cellIs" dxfId="3832" priority="747" operator="notEqual">
      <formula>0</formula>
    </cfRule>
  </conditionalFormatting>
  <conditionalFormatting sqref="F59">
    <cfRule type="cellIs" dxfId="3831" priority="745" operator="equal">
      <formula>1</formula>
    </cfRule>
  </conditionalFormatting>
  <conditionalFormatting sqref="G60:G61">
    <cfRule type="cellIs" dxfId="3830" priority="743" operator="equal">
      <formula>0</formula>
    </cfRule>
    <cfRule type="cellIs" dxfId="3829" priority="744" operator="notEqual">
      <formula>0</formula>
    </cfRule>
  </conditionalFormatting>
  <conditionalFormatting sqref="H60:H61">
    <cfRule type="cellIs" dxfId="3828" priority="741" operator="equal">
      <formula>0</formula>
    </cfRule>
    <cfRule type="cellIs" dxfId="3827" priority="742" operator="notEqual">
      <formula>0</formula>
    </cfRule>
  </conditionalFormatting>
  <conditionalFormatting sqref="I60:I61">
    <cfRule type="cellIs" dxfId="3826" priority="739" operator="equal">
      <formula>0</formula>
    </cfRule>
    <cfRule type="cellIs" dxfId="3825" priority="740" operator="notEqual">
      <formula>0</formula>
    </cfRule>
  </conditionalFormatting>
  <conditionalFormatting sqref="J60:J61">
    <cfRule type="cellIs" dxfId="3824" priority="737" operator="equal">
      <formula>0</formula>
    </cfRule>
    <cfRule type="cellIs" dxfId="3823" priority="738" operator="notEqual">
      <formula>0</formula>
    </cfRule>
  </conditionalFormatting>
  <conditionalFormatting sqref="O59">
    <cfRule type="cellIs" dxfId="3822" priority="735" operator="equal">
      <formula>0</formula>
    </cfRule>
    <cfRule type="cellIs" dxfId="3821" priority="736" operator="notEqual">
      <formula>0</formula>
    </cfRule>
  </conditionalFormatting>
  <conditionalFormatting sqref="O62">
    <cfRule type="cellIs" dxfId="3820" priority="733" operator="equal">
      <formula>0</formula>
    </cfRule>
    <cfRule type="cellIs" dxfId="3819" priority="734" operator="notEqual">
      <formula>0</formula>
    </cfRule>
  </conditionalFormatting>
  <conditionalFormatting sqref="P59">
    <cfRule type="cellIs" dxfId="3818" priority="731" operator="equal">
      <formula>0</formula>
    </cfRule>
    <cfRule type="cellIs" dxfId="3817" priority="732" operator="notEqual">
      <formula>0</formula>
    </cfRule>
  </conditionalFormatting>
  <conditionalFormatting sqref="P62">
    <cfRule type="cellIs" dxfId="3816" priority="729" operator="equal">
      <formula>0</formula>
    </cfRule>
    <cfRule type="cellIs" dxfId="3815" priority="730" operator="notEqual">
      <formula>0</formula>
    </cfRule>
  </conditionalFormatting>
  <conditionalFormatting sqref="Q59">
    <cfRule type="cellIs" dxfId="3814" priority="727" operator="equal">
      <formula>0</formula>
    </cfRule>
    <cfRule type="cellIs" dxfId="3813" priority="728" operator="notEqual">
      <formula>0</formula>
    </cfRule>
  </conditionalFormatting>
  <conditionalFormatting sqref="Q62">
    <cfRule type="cellIs" dxfId="3812" priority="725" operator="equal">
      <formula>0</formula>
    </cfRule>
    <cfRule type="cellIs" dxfId="3811" priority="726" operator="notEqual">
      <formula>0</formula>
    </cfRule>
  </conditionalFormatting>
  <conditionalFormatting sqref="R59">
    <cfRule type="cellIs" dxfId="3810" priority="723" operator="equal">
      <formula>0</formula>
    </cfRule>
    <cfRule type="cellIs" dxfId="3809" priority="724" operator="notEqual">
      <formula>0</formula>
    </cfRule>
  </conditionalFormatting>
  <conditionalFormatting sqref="R62">
    <cfRule type="cellIs" dxfId="3808" priority="721" operator="equal">
      <formula>0</formula>
    </cfRule>
    <cfRule type="cellIs" dxfId="3807" priority="722" operator="notEqual">
      <formula>0</formula>
    </cfRule>
  </conditionalFormatting>
  <conditionalFormatting sqref="C67:C68">
    <cfRule type="cellIs" dxfId="3806" priority="719" operator="equal">
      <formula>0</formula>
    </cfRule>
    <cfRule type="cellIs" dxfId="3805" priority="720" operator="notEqual">
      <formula>0</formula>
    </cfRule>
  </conditionalFormatting>
  <conditionalFormatting sqref="C66">
    <cfRule type="cellIs" dxfId="3804" priority="718" operator="equal">
      <formula>1</formula>
    </cfRule>
  </conditionalFormatting>
  <conditionalFormatting sqref="D67:D68">
    <cfRule type="cellIs" dxfId="3803" priority="716" operator="equal">
      <formula>0</formula>
    </cfRule>
    <cfRule type="cellIs" dxfId="3802" priority="717" operator="notEqual">
      <formula>0</formula>
    </cfRule>
  </conditionalFormatting>
  <conditionalFormatting sqref="D66">
    <cfRule type="cellIs" dxfId="3801" priority="715" operator="equal">
      <formula>1</formula>
    </cfRule>
  </conditionalFormatting>
  <conditionalFormatting sqref="E67:E68">
    <cfRule type="cellIs" dxfId="3800" priority="713" operator="equal">
      <formula>0</formula>
    </cfRule>
    <cfRule type="cellIs" dxfId="3799" priority="714" operator="notEqual">
      <formula>0</formula>
    </cfRule>
  </conditionalFormatting>
  <conditionalFormatting sqref="E66">
    <cfRule type="cellIs" dxfId="3798" priority="712" operator="equal">
      <formula>1</formula>
    </cfRule>
  </conditionalFormatting>
  <conditionalFormatting sqref="F67:F68">
    <cfRule type="cellIs" dxfId="3797" priority="710" operator="equal">
      <formula>0</formula>
    </cfRule>
    <cfRule type="cellIs" dxfId="3796" priority="711" operator="notEqual">
      <formula>0</formula>
    </cfRule>
  </conditionalFormatting>
  <conditionalFormatting sqref="F66">
    <cfRule type="cellIs" dxfId="3795" priority="709" operator="equal">
      <formula>1</formula>
    </cfRule>
  </conditionalFormatting>
  <conditionalFormatting sqref="G67:G68">
    <cfRule type="cellIs" dxfId="3794" priority="707" operator="equal">
      <formula>0</formula>
    </cfRule>
    <cfRule type="cellIs" dxfId="3793" priority="708" operator="notEqual">
      <formula>0</formula>
    </cfRule>
  </conditionalFormatting>
  <conditionalFormatting sqref="H67:H68">
    <cfRule type="cellIs" dxfId="3792" priority="705" operator="equal">
      <formula>0</formula>
    </cfRule>
    <cfRule type="cellIs" dxfId="3791" priority="706" operator="notEqual">
      <formula>0</formula>
    </cfRule>
  </conditionalFormatting>
  <conditionalFormatting sqref="I67:I68">
    <cfRule type="cellIs" dxfId="3790" priority="703" operator="equal">
      <formula>0</formula>
    </cfRule>
    <cfRule type="cellIs" dxfId="3789" priority="704" operator="notEqual">
      <formula>0</formula>
    </cfRule>
  </conditionalFormatting>
  <conditionalFormatting sqref="J67:J68">
    <cfRule type="cellIs" dxfId="3788" priority="701" operator="equal">
      <formula>0</formula>
    </cfRule>
    <cfRule type="cellIs" dxfId="3787" priority="702" operator="notEqual">
      <formula>0</formula>
    </cfRule>
  </conditionalFormatting>
  <conditionalFormatting sqref="O66">
    <cfRule type="cellIs" dxfId="3786" priority="699" operator="equal">
      <formula>0</formula>
    </cfRule>
    <cfRule type="cellIs" dxfId="3785" priority="700" operator="notEqual">
      <formula>0</formula>
    </cfRule>
  </conditionalFormatting>
  <conditionalFormatting sqref="O69">
    <cfRule type="cellIs" dxfId="3784" priority="697" operator="equal">
      <formula>0</formula>
    </cfRule>
    <cfRule type="cellIs" dxfId="3783" priority="698" operator="notEqual">
      <formula>0</formula>
    </cfRule>
  </conditionalFormatting>
  <conditionalFormatting sqref="P66">
    <cfRule type="cellIs" dxfId="3782" priority="695" operator="equal">
      <formula>0</formula>
    </cfRule>
    <cfRule type="cellIs" dxfId="3781" priority="696" operator="notEqual">
      <formula>0</formula>
    </cfRule>
  </conditionalFormatting>
  <conditionalFormatting sqref="P69">
    <cfRule type="cellIs" dxfId="3780" priority="693" operator="equal">
      <formula>0</formula>
    </cfRule>
    <cfRule type="cellIs" dxfId="3779" priority="694" operator="notEqual">
      <formula>0</formula>
    </cfRule>
  </conditionalFormatting>
  <conditionalFormatting sqref="Q66">
    <cfRule type="cellIs" dxfId="3778" priority="691" operator="equal">
      <formula>0</formula>
    </cfRule>
    <cfRule type="cellIs" dxfId="3777" priority="692" operator="notEqual">
      <formula>0</formula>
    </cfRule>
  </conditionalFormatting>
  <conditionalFormatting sqref="Q69">
    <cfRule type="cellIs" dxfId="3776" priority="689" operator="equal">
      <formula>0</formula>
    </cfRule>
    <cfRule type="cellIs" dxfId="3775" priority="690" operator="notEqual">
      <formula>0</formula>
    </cfRule>
  </conditionalFormatting>
  <conditionalFormatting sqref="R66">
    <cfRule type="cellIs" dxfId="3774" priority="687" operator="equal">
      <formula>0</formula>
    </cfRule>
    <cfRule type="cellIs" dxfId="3773" priority="688" operator="notEqual">
      <formula>0</formula>
    </cfRule>
  </conditionalFormatting>
  <conditionalFormatting sqref="R69">
    <cfRule type="cellIs" dxfId="3772" priority="685" operator="equal">
      <formula>0</formula>
    </cfRule>
    <cfRule type="cellIs" dxfId="3771" priority="686" operator="notEqual">
      <formula>0</formula>
    </cfRule>
  </conditionalFormatting>
  <conditionalFormatting sqref="C74:C75">
    <cfRule type="cellIs" dxfId="3770" priority="683" operator="equal">
      <formula>0</formula>
    </cfRule>
    <cfRule type="cellIs" dxfId="3769" priority="684" operator="notEqual">
      <formula>0</formula>
    </cfRule>
  </conditionalFormatting>
  <conditionalFormatting sqref="C73">
    <cfRule type="cellIs" dxfId="3768" priority="682" operator="equal">
      <formula>1</formula>
    </cfRule>
  </conditionalFormatting>
  <conditionalFormatting sqref="D74:D75">
    <cfRule type="cellIs" dxfId="3767" priority="680" operator="equal">
      <formula>0</formula>
    </cfRule>
    <cfRule type="cellIs" dxfId="3766" priority="681" operator="notEqual">
      <formula>0</formula>
    </cfRule>
  </conditionalFormatting>
  <conditionalFormatting sqref="D73">
    <cfRule type="cellIs" dxfId="3765" priority="679" operator="equal">
      <formula>1</formula>
    </cfRule>
  </conditionalFormatting>
  <conditionalFormatting sqref="E74:E75">
    <cfRule type="cellIs" dxfId="3764" priority="677" operator="equal">
      <formula>0</formula>
    </cfRule>
    <cfRule type="cellIs" dxfId="3763" priority="678" operator="notEqual">
      <formula>0</formula>
    </cfRule>
  </conditionalFormatting>
  <conditionalFormatting sqref="E73">
    <cfRule type="cellIs" dxfId="3762" priority="676" operator="equal">
      <formula>1</formula>
    </cfRule>
  </conditionalFormatting>
  <conditionalFormatting sqref="F74:F75">
    <cfRule type="cellIs" dxfId="3761" priority="674" operator="equal">
      <formula>0</formula>
    </cfRule>
    <cfRule type="cellIs" dxfId="3760" priority="675" operator="notEqual">
      <formula>0</formula>
    </cfRule>
  </conditionalFormatting>
  <conditionalFormatting sqref="F73">
    <cfRule type="cellIs" dxfId="3759" priority="673" operator="equal">
      <formula>1</formula>
    </cfRule>
  </conditionalFormatting>
  <conditionalFormatting sqref="G74:G75">
    <cfRule type="cellIs" dxfId="3758" priority="671" operator="equal">
      <formula>0</formula>
    </cfRule>
    <cfRule type="cellIs" dxfId="3757" priority="672" operator="notEqual">
      <formula>0</formula>
    </cfRule>
  </conditionalFormatting>
  <conditionalFormatting sqref="H74:H75">
    <cfRule type="cellIs" dxfId="3756" priority="669" operator="equal">
      <formula>0</formula>
    </cfRule>
    <cfRule type="cellIs" dxfId="3755" priority="670" operator="notEqual">
      <formula>0</formula>
    </cfRule>
  </conditionalFormatting>
  <conditionalFormatting sqref="I74:I75">
    <cfRule type="cellIs" dxfId="3754" priority="667" operator="equal">
      <formula>0</formula>
    </cfRule>
    <cfRule type="cellIs" dxfId="3753" priority="668" operator="notEqual">
      <formula>0</formula>
    </cfRule>
  </conditionalFormatting>
  <conditionalFormatting sqref="J74:J75">
    <cfRule type="cellIs" dxfId="3752" priority="665" operator="equal">
      <formula>0</formula>
    </cfRule>
    <cfRule type="cellIs" dxfId="3751" priority="666" operator="notEqual">
      <formula>0</formula>
    </cfRule>
  </conditionalFormatting>
  <conditionalFormatting sqref="O73">
    <cfRule type="cellIs" dxfId="3750" priority="663" operator="equal">
      <formula>0</formula>
    </cfRule>
    <cfRule type="cellIs" dxfId="3749" priority="664" operator="notEqual">
      <formula>0</formula>
    </cfRule>
  </conditionalFormatting>
  <conditionalFormatting sqref="O76">
    <cfRule type="cellIs" dxfId="3748" priority="661" operator="equal">
      <formula>0</formula>
    </cfRule>
    <cfRule type="cellIs" dxfId="3747" priority="662" operator="notEqual">
      <formula>0</formula>
    </cfRule>
  </conditionalFormatting>
  <conditionalFormatting sqref="P73">
    <cfRule type="cellIs" dxfId="3746" priority="659" operator="equal">
      <formula>0</formula>
    </cfRule>
    <cfRule type="cellIs" dxfId="3745" priority="660" operator="notEqual">
      <formula>0</formula>
    </cfRule>
  </conditionalFormatting>
  <conditionalFormatting sqref="P76">
    <cfRule type="cellIs" dxfId="3744" priority="657" operator="equal">
      <formula>0</formula>
    </cfRule>
    <cfRule type="cellIs" dxfId="3743" priority="658" operator="notEqual">
      <formula>0</formula>
    </cfRule>
  </conditionalFormatting>
  <conditionalFormatting sqref="Q73">
    <cfRule type="cellIs" dxfId="3742" priority="655" operator="equal">
      <formula>0</formula>
    </cfRule>
    <cfRule type="cellIs" dxfId="3741" priority="656" operator="notEqual">
      <formula>0</formula>
    </cfRule>
  </conditionalFormatting>
  <conditionalFormatting sqref="Q76">
    <cfRule type="cellIs" dxfId="3740" priority="653" operator="equal">
      <formula>0</formula>
    </cfRule>
    <cfRule type="cellIs" dxfId="3739" priority="654" operator="notEqual">
      <formula>0</formula>
    </cfRule>
  </conditionalFormatting>
  <conditionalFormatting sqref="R73">
    <cfRule type="cellIs" dxfId="3738" priority="651" operator="equal">
      <formula>0</formula>
    </cfRule>
    <cfRule type="cellIs" dxfId="3737" priority="652" operator="notEqual">
      <formula>0</formula>
    </cfRule>
  </conditionalFormatting>
  <conditionalFormatting sqref="R76">
    <cfRule type="cellIs" dxfId="3736" priority="649" operator="equal">
      <formula>0</formula>
    </cfRule>
    <cfRule type="cellIs" dxfId="3735" priority="650" operator="notEqual">
      <formula>0</formula>
    </cfRule>
  </conditionalFormatting>
  <conditionalFormatting sqref="U67:U68">
    <cfRule type="cellIs" dxfId="3734" priority="647" operator="equal">
      <formula>0</formula>
    </cfRule>
    <cfRule type="cellIs" dxfId="3733" priority="648" operator="notEqual">
      <formula>0</formula>
    </cfRule>
  </conditionalFormatting>
  <conditionalFormatting sqref="U66">
    <cfRule type="cellIs" dxfId="3732" priority="646" operator="equal">
      <formula>1</formula>
    </cfRule>
  </conditionalFormatting>
  <conditionalFormatting sqref="V67:V68">
    <cfRule type="cellIs" dxfId="3731" priority="644" operator="equal">
      <formula>0</formula>
    </cfRule>
    <cfRule type="cellIs" dxfId="3730" priority="645" operator="notEqual">
      <formula>0</formula>
    </cfRule>
  </conditionalFormatting>
  <conditionalFormatting sqref="V66">
    <cfRule type="cellIs" dxfId="3729" priority="643" operator="equal">
      <formula>1</formula>
    </cfRule>
  </conditionalFormatting>
  <conditionalFormatting sqref="W67:W68">
    <cfRule type="cellIs" dxfId="3728" priority="641" operator="equal">
      <formula>0</formula>
    </cfRule>
    <cfRule type="cellIs" dxfId="3727" priority="642" operator="notEqual">
      <formula>0</formula>
    </cfRule>
  </conditionalFormatting>
  <conditionalFormatting sqref="W66">
    <cfRule type="cellIs" dxfId="3726" priority="640" operator="equal">
      <formula>1</formula>
    </cfRule>
  </conditionalFormatting>
  <conditionalFormatting sqref="X67:X68">
    <cfRule type="cellIs" dxfId="3725" priority="638" operator="equal">
      <formula>0</formula>
    </cfRule>
    <cfRule type="cellIs" dxfId="3724" priority="639" operator="notEqual">
      <formula>0</formula>
    </cfRule>
  </conditionalFormatting>
  <conditionalFormatting sqref="X66">
    <cfRule type="cellIs" dxfId="3723" priority="637" operator="equal">
      <formula>1</formula>
    </cfRule>
  </conditionalFormatting>
  <conditionalFormatting sqref="Y67:Y68">
    <cfRule type="cellIs" dxfId="3722" priority="635" operator="equal">
      <formula>0</formula>
    </cfRule>
    <cfRule type="cellIs" dxfId="3721" priority="636" operator="notEqual">
      <formula>0</formula>
    </cfRule>
  </conditionalFormatting>
  <conditionalFormatting sqref="Z67:Z68">
    <cfRule type="cellIs" dxfId="3720" priority="633" operator="equal">
      <formula>0</formula>
    </cfRule>
    <cfRule type="cellIs" dxfId="3719" priority="634" operator="notEqual">
      <formula>0</formula>
    </cfRule>
  </conditionalFormatting>
  <conditionalFormatting sqref="AA67:AA68">
    <cfRule type="cellIs" dxfId="3718" priority="631" operator="equal">
      <formula>0</formula>
    </cfRule>
    <cfRule type="cellIs" dxfId="3717" priority="632" operator="notEqual">
      <formula>0</formula>
    </cfRule>
  </conditionalFormatting>
  <conditionalFormatting sqref="AB67:AB68">
    <cfRule type="cellIs" dxfId="3716" priority="629" operator="equal">
      <formula>0</formula>
    </cfRule>
    <cfRule type="cellIs" dxfId="3715" priority="630" operator="notEqual">
      <formula>0</formula>
    </cfRule>
  </conditionalFormatting>
  <conditionalFormatting sqref="AG66">
    <cfRule type="cellIs" dxfId="3714" priority="627" operator="equal">
      <formula>0</formula>
    </cfRule>
    <cfRule type="cellIs" dxfId="3713" priority="628" operator="notEqual">
      <formula>0</formula>
    </cfRule>
  </conditionalFormatting>
  <conditionalFormatting sqref="AG69">
    <cfRule type="cellIs" dxfId="3712" priority="625" operator="equal">
      <formula>0</formula>
    </cfRule>
    <cfRule type="cellIs" dxfId="3711" priority="626" operator="notEqual">
      <formula>0</formula>
    </cfRule>
  </conditionalFormatting>
  <conditionalFormatting sqref="AH66">
    <cfRule type="cellIs" dxfId="3710" priority="623" operator="equal">
      <formula>0</formula>
    </cfRule>
    <cfRule type="cellIs" dxfId="3709" priority="624" operator="notEqual">
      <formula>0</formula>
    </cfRule>
  </conditionalFormatting>
  <conditionalFormatting sqref="AH69">
    <cfRule type="cellIs" dxfId="3708" priority="621" operator="equal">
      <formula>0</formula>
    </cfRule>
    <cfRule type="cellIs" dxfId="3707" priority="622" operator="notEqual">
      <formula>0</formula>
    </cfRule>
  </conditionalFormatting>
  <conditionalFormatting sqref="AI66">
    <cfRule type="cellIs" dxfId="3706" priority="619" operator="equal">
      <formula>0</formula>
    </cfRule>
    <cfRule type="cellIs" dxfId="3705" priority="620" operator="notEqual">
      <formula>0</formula>
    </cfRule>
  </conditionalFormatting>
  <conditionalFormatting sqref="AI69">
    <cfRule type="cellIs" dxfId="3704" priority="617" operator="equal">
      <formula>0</formula>
    </cfRule>
    <cfRule type="cellIs" dxfId="3703" priority="618" operator="notEqual">
      <formula>0</formula>
    </cfRule>
  </conditionalFormatting>
  <conditionalFormatting sqref="AJ66">
    <cfRule type="cellIs" dxfId="3702" priority="615" operator="equal">
      <formula>0</formula>
    </cfRule>
    <cfRule type="cellIs" dxfId="3701" priority="616" operator="notEqual">
      <formula>0</formula>
    </cfRule>
  </conditionalFormatting>
  <conditionalFormatting sqref="AJ69">
    <cfRule type="cellIs" dxfId="3700" priority="613" operator="equal">
      <formula>0</formula>
    </cfRule>
    <cfRule type="cellIs" dxfId="3699" priority="614" operator="notEqual">
      <formula>0</formula>
    </cfRule>
  </conditionalFormatting>
  <conditionalFormatting sqref="U60:U61">
    <cfRule type="cellIs" dxfId="3698" priority="611" operator="equal">
      <formula>0</formula>
    </cfRule>
    <cfRule type="cellIs" dxfId="3697" priority="612" operator="notEqual">
      <formula>0</formula>
    </cfRule>
  </conditionalFormatting>
  <conditionalFormatting sqref="U59">
    <cfRule type="cellIs" dxfId="3696" priority="610" operator="equal">
      <formula>1</formula>
    </cfRule>
  </conditionalFormatting>
  <conditionalFormatting sqref="V60:V61">
    <cfRule type="cellIs" dxfId="3695" priority="608" operator="equal">
      <formula>0</formula>
    </cfRule>
    <cfRule type="cellIs" dxfId="3694" priority="609" operator="notEqual">
      <formula>0</formula>
    </cfRule>
  </conditionalFormatting>
  <conditionalFormatting sqref="V59">
    <cfRule type="cellIs" dxfId="3693" priority="607" operator="equal">
      <formula>1</formula>
    </cfRule>
  </conditionalFormatting>
  <conditionalFormatting sqref="W60:W61">
    <cfRule type="cellIs" dxfId="3692" priority="605" operator="equal">
      <formula>0</formula>
    </cfRule>
    <cfRule type="cellIs" dxfId="3691" priority="606" operator="notEqual">
      <formula>0</formula>
    </cfRule>
  </conditionalFormatting>
  <conditionalFormatting sqref="W59">
    <cfRule type="cellIs" dxfId="3690" priority="604" operator="equal">
      <formula>1</formula>
    </cfRule>
  </conditionalFormatting>
  <conditionalFormatting sqref="X60:X61">
    <cfRule type="cellIs" dxfId="3689" priority="602" operator="equal">
      <formula>0</formula>
    </cfRule>
    <cfRule type="cellIs" dxfId="3688" priority="603" operator="notEqual">
      <formula>0</formula>
    </cfRule>
  </conditionalFormatting>
  <conditionalFormatting sqref="X59">
    <cfRule type="cellIs" dxfId="3687" priority="601" operator="equal">
      <formula>1</formula>
    </cfRule>
  </conditionalFormatting>
  <conditionalFormatting sqref="Y60:Y61">
    <cfRule type="cellIs" dxfId="3686" priority="599" operator="equal">
      <formula>0</formula>
    </cfRule>
    <cfRule type="cellIs" dxfId="3685" priority="600" operator="notEqual">
      <formula>0</formula>
    </cfRule>
  </conditionalFormatting>
  <conditionalFormatting sqref="Z60:Z61">
    <cfRule type="cellIs" dxfId="3684" priority="597" operator="equal">
      <formula>0</formula>
    </cfRule>
    <cfRule type="cellIs" dxfId="3683" priority="598" operator="notEqual">
      <formula>0</formula>
    </cfRule>
  </conditionalFormatting>
  <conditionalFormatting sqref="AA60:AA61">
    <cfRule type="cellIs" dxfId="3682" priority="595" operator="equal">
      <formula>0</formula>
    </cfRule>
    <cfRule type="cellIs" dxfId="3681" priority="596" operator="notEqual">
      <formula>0</formula>
    </cfRule>
  </conditionalFormatting>
  <conditionalFormatting sqref="AB60:AB61">
    <cfRule type="cellIs" dxfId="3680" priority="593" operator="equal">
      <formula>0</formula>
    </cfRule>
    <cfRule type="cellIs" dxfId="3679" priority="594" operator="notEqual">
      <formula>0</formula>
    </cfRule>
  </conditionalFormatting>
  <conditionalFormatting sqref="AG59">
    <cfRule type="cellIs" dxfId="3678" priority="591" operator="equal">
      <formula>0</formula>
    </cfRule>
    <cfRule type="cellIs" dxfId="3677" priority="592" operator="notEqual">
      <formula>0</formula>
    </cfRule>
  </conditionalFormatting>
  <conditionalFormatting sqref="AG62">
    <cfRule type="cellIs" dxfId="3676" priority="589" operator="equal">
      <formula>0</formula>
    </cfRule>
    <cfRule type="cellIs" dxfId="3675" priority="590" operator="notEqual">
      <formula>0</formula>
    </cfRule>
  </conditionalFormatting>
  <conditionalFormatting sqref="AH59">
    <cfRule type="cellIs" dxfId="3674" priority="587" operator="equal">
      <formula>0</formula>
    </cfRule>
    <cfRule type="cellIs" dxfId="3673" priority="588" operator="notEqual">
      <formula>0</formula>
    </cfRule>
  </conditionalFormatting>
  <conditionalFormatting sqref="AH62">
    <cfRule type="cellIs" dxfId="3672" priority="585" operator="equal">
      <formula>0</formula>
    </cfRule>
    <cfRule type="cellIs" dxfId="3671" priority="586" operator="notEqual">
      <formula>0</formula>
    </cfRule>
  </conditionalFormatting>
  <conditionalFormatting sqref="AI59">
    <cfRule type="cellIs" dxfId="3670" priority="583" operator="equal">
      <formula>0</formula>
    </cfRule>
    <cfRule type="cellIs" dxfId="3669" priority="584" operator="notEqual">
      <formula>0</formula>
    </cfRule>
  </conditionalFormatting>
  <conditionalFormatting sqref="AI62">
    <cfRule type="cellIs" dxfId="3668" priority="581" operator="equal">
      <formula>0</formula>
    </cfRule>
    <cfRule type="cellIs" dxfId="3667" priority="582" operator="notEqual">
      <formula>0</formula>
    </cfRule>
  </conditionalFormatting>
  <conditionalFormatting sqref="AJ59">
    <cfRule type="cellIs" dxfId="3666" priority="579" operator="equal">
      <formula>0</formula>
    </cfRule>
    <cfRule type="cellIs" dxfId="3665" priority="580" operator="notEqual">
      <formula>0</formula>
    </cfRule>
  </conditionalFormatting>
  <conditionalFormatting sqref="AJ62">
    <cfRule type="cellIs" dxfId="3664" priority="577" operator="equal">
      <formula>0</formula>
    </cfRule>
    <cfRule type="cellIs" dxfId="3663" priority="578" operator="notEqual">
      <formula>0</formula>
    </cfRule>
  </conditionalFormatting>
  <conditionalFormatting sqref="U53:U54">
    <cfRule type="cellIs" dxfId="3662" priority="575" operator="equal">
      <formula>0</formula>
    </cfRule>
    <cfRule type="cellIs" dxfId="3661" priority="576" operator="notEqual">
      <formula>0</formula>
    </cfRule>
  </conditionalFormatting>
  <conditionalFormatting sqref="U52">
    <cfRule type="cellIs" dxfId="3660" priority="574" operator="equal">
      <formula>1</formula>
    </cfRule>
  </conditionalFormatting>
  <conditionalFormatting sqref="V53:V54">
    <cfRule type="cellIs" dxfId="3659" priority="572" operator="equal">
      <formula>0</formula>
    </cfRule>
    <cfRule type="cellIs" dxfId="3658" priority="573" operator="notEqual">
      <formula>0</formula>
    </cfRule>
  </conditionalFormatting>
  <conditionalFormatting sqref="V52">
    <cfRule type="cellIs" dxfId="3657" priority="571" operator="equal">
      <formula>1</formula>
    </cfRule>
  </conditionalFormatting>
  <conditionalFormatting sqref="W53:W54">
    <cfRule type="cellIs" dxfId="3656" priority="569" operator="equal">
      <formula>0</formula>
    </cfRule>
    <cfRule type="cellIs" dxfId="3655" priority="570" operator="notEqual">
      <formula>0</formula>
    </cfRule>
  </conditionalFormatting>
  <conditionalFormatting sqref="W52">
    <cfRule type="cellIs" dxfId="3654" priority="568" operator="equal">
      <formula>1</formula>
    </cfRule>
  </conditionalFormatting>
  <conditionalFormatting sqref="X53:X54">
    <cfRule type="cellIs" dxfId="3653" priority="566" operator="equal">
      <formula>0</formula>
    </cfRule>
    <cfRule type="cellIs" dxfId="3652" priority="567" operator="notEqual">
      <formula>0</formula>
    </cfRule>
  </conditionalFormatting>
  <conditionalFormatting sqref="X52">
    <cfRule type="cellIs" dxfId="3651" priority="565" operator="equal">
      <formula>1</formula>
    </cfRule>
  </conditionalFormatting>
  <conditionalFormatting sqref="Y53:Y54">
    <cfRule type="cellIs" dxfId="3650" priority="563" operator="equal">
      <formula>0</formula>
    </cfRule>
    <cfRule type="cellIs" dxfId="3649" priority="564" operator="notEqual">
      <formula>0</formula>
    </cfRule>
  </conditionalFormatting>
  <conditionalFormatting sqref="Z53:Z54">
    <cfRule type="cellIs" dxfId="3648" priority="561" operator="equal">
      <formula>0</formula>
    </cfRule>
    <cfRule type="cellIs" dxfId="3647" priority="562" operator="notEqual">
      <formula>0</formula>
    </cfRule>
  </conditionalFormatting>
  <conditionalFormatting sqref="AA53:AA54">
    <cfRule type="cellIs" dxfId="3646" priority="559" operator="equal">
      <formula>0</formula>
    </cfRule>
    <cfRule type="cellIs" dxfId="3645" priority="560" operator="notEqual">
      <formula>0</formula>
    </cfRule>
  </conditionalFormatting>
  <conditionalFormatting sqref="AB53:AB54">
    <cfRule type="cellIs" dxfId="3644" priority="557" operator="equal">
      <formula>0</formula>
    </cfRule>
    <cfRule type="cellIs" dxfId="3643" priority="558" operator="notEqual">
      <formula>0</formula>
    </cfRule>
  </conditionalFormatting>
  <conditionalFormatting sqref="AG52">
    <cfRule type="cellIs" dxfId="3642" priority="555" operator="equal">
      <formula>0</formula>
    </cfRule>
    <cfRule type="cellIs" dxfId="3641" priority="556" operator="notEqual">
      <formula>0</formula>
    </cfRule>
  </conditionalFormatting>
  <conditionalFormatting sqref="AG55">
    <cfRule type="cellIs" dxfId="3640" priority="553" operator="equal">
      <formula>0</formula>
    </cfRule>
    <cfRule type="cellIs" dxfId="3639" priority="554" operator="notEqual">
      <formula>0</formula>
    </cfRule>
  </conditionalFormatting>
  <conditionalFormatting sqref="AH52">
    <cfRule type="cellIs" dxfId="3638" priority="551" operator="equal">
      <formula>0</formula>
    </cfRule>
    <cfRule type="cellIs" dxfId="3637" priority="552" operator="notEqual">
      <formula>0</formula>
    </cfRule>
  </conditionalFormatting>
  <conditionalFormatting sqref="AH55">
    <cfRule type="cellIs" dxfId="3636" priority="549" operator="equal">
      <formula>0</formula>
    </cfRule>
    <cfRule type="cellIs" dxfId="3635" priority="550" operator="notEqual">
      <formula>0</formula>
    </cfRule>
  </conditionalFormatting>
  <conditionalFormatting sqref="AI52">
    <cfRule type="cellIs" dxfId="3634" priority="547" operator="equal">
      <formula>0</formula>
    </cfRule>
    <cfRule type="cellIs" dxfId="3633" priority="548" operator="notEqual">
      <formula>0</formula>
    </cfRule>
  </conditionalFormatting>
  <conditionalFormatting sqref="AI55">
    <cfRule type="cellIs" dxfId="3632" priority="545" operator="equal">
      <formula>0</formula>
    </cfRule>
    <cfRule type="cellIs" dxfId="3631" priority="546" operator="notEqual">
      <formula>0</formula>
    </cfRule>
  </conditionalFormatting>
  <conditionalFormatting sqref="AJ52">
    <cfRule type="cellIs" dxfId="3630" priority="543" operator="equal">
      <formula>0</formula>
    </cfRule>
    <cfRule type="cellIs" dxfId="3629" priority="544" operator="notEqual">
      <formula>0</formula>
    </cfRule>
  </conditionalFormatting>
  <conditionalFormatting sqref="AJ55">
    <cfRule type="cellIs" dxfId="3628" priority="541" operator="equal">
      <formula>0</formula>
    </cfRule>
    <cfRule type="cellIs" dxfId="3627" priority="542" operator="notEqual">
      <formula>0</formula>
    </cfRule>
  </conditionalFormatting>
  <conditionalFormatting sqref="U46:U47">
    <cfRule type="cellIs" dxfId="3626" priority="539" operator="equal">
      <formula>0</formula>
    </cfRule>
    <cfRule type="cellIs" dxfId="3625" priority="540" operator="notEqual">
      <formula>0</formula>
    </cfRule>
  </conditionalFormatting>
  <conditionalFormatting sqref="U45">
    <cfRule type="cellIs" dxfId="3624" priority="538" operator="equal">
      <formula>1</formula>
    </cfRule>
  </conditionalFormatting>
  <conditionalFormatting sqref="V46:V47">
    <cfRule type="cellIs" dxfId="3623" priority="536" operator="equal">
      <formula>0</formula>
    </cfRule>
    <cfRule type="cellIs" dxfId="3622" priority="537" operator="notEqual">
      <formula>0</formula>
    </cfRule>
  </conditionalFormatting>
  <conditionalFormatting sqref="V45">
    <cfRule type="cellIs" dxfId="3621" priority="535" operator="equal">
      <formula>1</formula>
    </cfRule>
  </conditionalFormatting>
  <conditionalFormatting sqref="W46:W47">
    <cfRule type="cellIs" dxfId="3620" priority="533" operator="equal">
      <formula>0</formula>
    </cfRule>
    <cfRule type="cellIs" dxfId="3619" priority="534" operator="notEqual">
      <formula>0</formula>
    </cfRule>
  </conditionalFormatting>
  <conditionalFormatting sqref="W45">
    <cfRule type="cellIs" dxfId="3618" priority="532" operator="equal">
      <formula>1</formula>
    </cfRule>
  </conditionalFormatting>
  <conditionalFormatting sqref="X46:X47">
    <cfRule type="cellIs" dxfId="3617" priority="530" operator="equal">
      <formula>0</formula>
    </cfRule>
    <cfRule type="cellIs" dxfId="3616" priority="531" operator="notEqual">
      <formula>0</formula>
    </cfRule>
  </conditionalFormatting>
  <conditionalFormatting sqref="X45">
    <cfRule type="cellIs" dxfId="3615" priority="529" operator="equal">
      <formula>1</formula>
    </cfRule>
  </conditionalFormatting>
  <conditionalFormatting sqref="Y46:Y47">
    <cfRule type="cellIs" dxfId="3614" priority="527" operator="equal">
      <formula>0</formula>
    </cfRule>
    <cfRule type="cellIs" dxfId="3613" priority="528" operator="notEqual">
      <formula>0</formula>
    </cfRule>
  </conditionalFormatting>
  <conditionalFormatting sqref="Z46:Z47">
    <cfRule type="cellIs" dxfId="3612" priority="525" operator="equal">
      <formula>0</formula>
    </cfRule>
    <cfRule type="cellIs" dxfId="3611" priority="526" operator="notEqual">
      <formula>0</formula>
    </cfRule>
  </conditionalFormatting>
  <conditionalFormatting sqref="AA46:AA47">
    <cfRule type="cellIs" dxfId="3610" priority="523" operator="equal">
      <formula>0</formula>
    </cfRule>
    <cfRule type="cellIs" dxfId="3609" priority="524" operator="notEqual">
      <formula>0</formula>
    </cfRule>
  </conditionalFormatting>
  <conditionalFormatting sqref="AB46:AB47">
    <cfRule type="cellIs" dxfId="3608" priority="521" operator="equal">
      <formula>0</formula>
    </cfRule>
    <cfRule type="cellIs" dxfId="3607" priority="522" operator="notEqual">
      <formula>0</formula>
    </cfRule>
  </conditionalFormatting>
  <conditionalFormatting sqref="AG45">
    <cfRule type="cellIs" dxfId="3606" priority="519" operator="equal">
      <formula>0</formula>
    </cfRule>
    <cfRule type="cellIs" dxfId="3605" priority="520" operator="notEqual">
      <formula>0</formula>
    </cfRule>
  </conditionalFormatting>
  <conditionalFormatting sqref="AG48">
    <cfRule type="cellIs" dxfId="3604" priority="517" operator="equal">
      <formula>0</formula>
    </cfRule>
    <cfRule type="cellIs" dxfId="3603" priority="518" operator="notEqual">
      <formula>0</formula>
    </cfRule>
  </conditionalFormatting>
  <conditionalFormatting sqref="AH45">
    <cfRule type="cellIs" dxfId="3602" priority="515" operator="equal">
      <formula>0</formula>
    </cfRule>
    <cfRule type="cellIs" dxfId="3601" priority="516" operator="notEqual">
      <formula>0</formula>
    </cfRule>
  </conditionalFormatting>
  <conditionalFormatting sqref="AH48">
    <cfRule type="cellIs" dxfId="3600" priority="513" operator="equal">
      <formula>0</formula>
    </cfRule>
    <cfRule type="cellIs" dxfId="3599" priority="514" operator="notEqual">
      <formula>0</formula>
    </cfRule>
  </conditionalFormatting>
  <conditionalFormatting sqref="AI45">
    <cfRule type="cellIs" dxfId="3598" priority="511" operator="equal">
      <formula>0</formula>
    </cfRule>
    <cfRule type="cellIs" dxfId="3597" priority="512" operator="notEqual">
      <formula>0</formula>
    </cfRule>
  </conditionalFormatting>
  <conditionalFormatting sqref="AI48">
    <cfRule type="cellIs" dxfId="3596" priority="509" operator="equal">
      <formula>0</formula>
    </cfRule>
    <cfRule type="cellIs" dxfId="3595" priority="510" operator="notEqual">
      <formula>0</formula>
    </cfRule>
  </conditionalFormatting>
  <conditionalFormatting sqref="AJ45">
    <cfRule type="cellIs" dxfId="3594" priority="507" operator="equal">
      <formula>0</formula>
    </cfRule>
    <cfRule type="cellIs" dxfId="3593" priority="508" operator="notEqual">
      <formula>0</formula>
    </cfRule>
  </conditionalFormatting>
  <conditionalFormatting sqref="AJ48">
    <cfRule type="cellIs" dxfId="3592" priority="505" operator="equal">
      <formula>0</formula>
    </cfRule>
    <cfRule type="cellIs" dxfId="3591" priority="506" operator="notEqual">
      <formula>0</formula>
    </cfRule>
  </conditionalFormatting>
  <conditionalFormatting sqref="U39:U40">
    <cfRule type="cellIs" dxfId="3590" priority="503" operator="equal">
      <formula>0</formula>
    </cfRule>
    <cfRule type="cellIs" dxfId="3589" priority="504" operator="notEqual">
      <formula>0</formula>
    </cfRule>
  </conditionalFormatting>
  <conditionalFormatting sqref="U38">
    <cfRule type="cellIs" dxfId="3588" priority="502" operator="equal">
      <formula>1</formula>
    </cfRule>
  </conditionalFormatting>
  <conditionalFormatting sqref="V39:V40">
    <cfRule type="cellIs" dxfId="3587" priority="500" operator="equal">
      <formula>0</formula>
    </cfRule>
    <cfRule type="cellIs" dxfId="3586" priority="501" operator="notEqual">
      <formula>0</formula>
    </cfRule>
  </conditionalFormatting>
  <conditionalFormatting sqref="V38">
    <cfRule type="cellIs" dxfId="3585" priority="499" operator="equal">
      <formula>1</formula>
    </cfRule>
  </conditionalFormatting>
  <conditionalFormatting sqref="W39:W40">
    <cfRule type="cellIs" dxfId="3584" priority="497" operator="equal">
      <formula>0</formula>
    </cfRule>
    <cfRule type="cellIs" dxfId="3583" priority="498" operator="notEqual">
      <formula>0</formula>
    </cfRule>
  </conditionalFormatting>
  <conditionalFormatting sqref="W38">
    <cfRule type="cellIs" dxfId="3582" priority="496" operator="equal">
      <formula>1</formula>
    </cfRule>
  </conditionalFormatting>
  <conditionalFormatting sqref="X39:X40">
    <cfRule type="cellIs" dxfId="3581" priority="494" operator="equal">
      <formula>0</formula>
    </cfRule>
    <cfRule type="cellIs" dxfId="3580" priority="495" operator="notEqual">
      <formula>0</formula>
    </cfRule>
  </conditionalFormatting>
  <conditionalFormatting sqref="X38">
    <cfRule type="cellIs" dxfId="3579" priority="493" operator="equal">
      <formula>1</formula>
    </cfRule>
  </conditionalFormatting>
  <conditionalFormatting sqref="Y39:Y40">
    <cfRule type="cellIs" dxfId="3578" priority="491" operator="equal">
      <formula>0</formula>
    </cfRule>
    <cfRule type="cellIs" dxfId="3577" priority="492" operator="notEqual">
      <formula>0</formula>
    </cfRule>
  </conditionalFormatting>
  <conditionalFormatting sqref="Z39:Z40">
    <cfRule type="cellIs" dxfId="3576" priority="489" operator="equal">
      <formula>0</formula>
    </cfRule>
    <cfRule type="cellIs" dxfId="3575" priority="490" operator="notEqual">
      <formula>0</formula>
    </cfRule>
  </conditionalFormatting>
  <conditionalFormatting sqref="AA39:AA40">
    <cfRule type="cellIs" dxfId="3574" priority="487" operator="equal">
      <formula>0</formula>
    </cfRule>
    <cfRule type="cellIs" dxfId="3573" priority="488" operator="notEqual">
      <formula>0</formula>
    </cfRule>
  </conditionalFormatting>
  <conditionalFormatting sqref="AB39:AB40">
    <cfRule type="cellIs" dxfId="3572" priority="485" operator="equal">
      <formula>0</formula>
    </cfRule>
    <cfRule type="cellIs" dxfId="3571" priority="486" operator="notEqual">
      <formula>0</formula>
    </cfRule>
  </conditionalFormatting>
  <conditionalFormatting sqref="AG38">
    <cfRule type="cellIs" dxfId="3570" priority="483" operator="equal">
      <formula>0</formula>
    </cfRule>
    <cfRule type="cellIs" dxfId="3569" priority="484" operator="notEqual">
      <formula>0</formula>
    </cfRule>
  </conditionalFormatting>
  <conditionalFormatting sqref="AG41">
    <cfRule type="cellIs" dxfId="3568" priority="481" operator="equal">
      <formula>0</formula>
    </cfRule>
    <cfRule type="cellIs" dxfId="3567" priority="482" operator="notEqual">
      <formula>0</formula>
    </cfRule>
  </conditionalFormatting>
  <conditionalFormatting sqref="AH38">
    <cfRule type="cellIs" dxfId="3566" priority="479" operator="equal">
      <formula>0</formula>
    </cfRule>
    <cfRule type="cellIs" dxfId="3565" priority="480" operator="notEqual">
      <formula>0</formula>
    </cfRule>
  </conditionalFormatting>
  <conditionalFormatting sqref="AH41">
    <cfRule type="cellIs" dxfId="3564" priority="477" operator="equal">
      <formula>0</formula>
    </cfRule>
    <cfRule type="cellIs" dxfId="3563" priority="478" operator="notEqual">
      <formula>0</formula>
    </cfRule>
  </conditionalFormatting>
  <conditionalFormatting sqref="AI38">
    <cfRule type="cellIs" dxfId="3562" priority="475" operator="equal">
      <formula>0</formula>
    </cfRule>
    <cfRule type="cellIs" dxfId="3561" priority="476" operator="notEqual">
      <formula>0</formula>
    </cfRule>
  </conditionalFormatting>
  <conditionalFormatting sqref="AI41">
    <cfRule type="cellIs" dxfId="3560" priority="473" operator="equal">
      <formula>0</formula>
    </cfRule>
    <cfRule type="cellIs" dxfId="3559" priority="474" operator="notEqual">
      <formula>0</formula>
    </cfRule>
  </conditionalFormatting>
  <conditionalFormatting sqref="AJ38">
    <cfRule type="cellIs" dxfId="3558" priority="471" operator="equal">
      <formula>0</formula>
    </cfRule>
    <cfRule type="cellIs" dxfId="3557" priority="472" operator="notEqual">
      <formula>0</formula>
    </cfRule>
  </conditionalFormatting>
  <conditionalFormatting sqref="AJ41">
    <cfRule type="cellIs" dxfId="3556" priority="469" operator="equal">
      <formula>0</formula>
    </cfRule>
    <cfRule type="cellIs" dxfId="3555" priority="470" operator="notEqual">
      <formula>0</formula>
    </cfRule>
  </conditionalFormatting>
  <conditionalFormatting sqref="U32:U33">
    <cfRule type="cellIs" dxfId="3554" priority="467" operator="equal">
      <formula>0</formula>
    </cfRule>
    <cfRule type="cellIs" dxfId="3553" priority="468" operator="notEqual">
      <formula>0</formula>
    </cfRule>
  </conditionalFormatting>
  <conditionalFormatting sqref="U31">
    <cfRule type="cellIs" dxfId="3552" priority="466" operator="equal">
      <formula>1</formula>
    </cfRule>
  </conditionalFormatting>
  <conditionalFormatting sqref="V32:V33">
    <cfRule type="cellIs" dxfId="3551" priority="464" operator="equal">
      <formula>0</formula>
    </cfRule>
    <cfRule type="cellIs" dxfId="3550" priority="465" operator="notEqual">
      <formula>0</formula>
    </cfRule>
  </conditionalFormatting>
  <conditionalFormatting sqref="V31">
    <cfRule type="cellIs" dxfId="3549" priority="463" operator="equal">
      <formula>1</formula>
    </cfRule>
  </conditionalFormatting>
  <conditionalFormatting sqref="W32:W33">
    <cfRule type="cellIs" dxfId="3548" priority="461" operator="equal">
      <formula>0</formula>
    </cfRule>
    <cfRule type="cellIs" dxfId="3547" priority="462" operator="notEqual">
      <formula>0</formula>
    </cfRule>
  </conditionalFormatting>
  <conditionalFormatting sqref="W31">
    <cfRule type="cellIs" dxfId="3546" priority="460" operator="equal">
      <formula>1</formula>
    </cfRule>
  </conditionalFormatting>
  <conditionalFormatting sqref="X32:X33">
    <cfRule type="cellIs" dxfId="3545" priority="458" operator="equal">
      <formula>0</formula>
    </cfRule>
    <cfRule type="cellIs" dxfId="3544" priority="459" operator="notEqual">
      <formula>0</formula>
    </cfRule>
  </conditionalFormatting>
  <conditionalFormatting sqref="X31">
    <cfRule type="cellIs" dxfId="3543" priority="457" operator="equal">
      <formula>1</formula>
    </cfRule>
  </conditionalFormatting>
  <conditionalFormatting sqref="Y32:Y33">
    <cfRule type="cellIs" dxfId="3542" priority="455" operator="equal">
      <formula>0</formula>
    </cfRule>
    <cfRule type="cellIs" dxfId="3541" priority="456" operator="notEqual">
      <formula>0</formula>
    </cfRule>
  </conditionalFormatting>
  <conditionalFormatting sqref="Z32:Z33">
    <cfRule type="cellIs" dxfId="3540" priority="453" operator="equal">
      <formula>0</formula>
    </cfRule>
    <cfRule type="cellIs" dxfId="3539" priority="454" operator="notEqual">
      <formula>0</formula>
    </cfRule>
  </conditionalFormatting>
  <conditionalFormatting sqref="AA32:AA33">
    <cfRule type="cellIs" dxfId="3538" priority="451" operator="equal">
      <formula>0</formula>
    </cfRule>
    <cfRule type="cellIs" dxfId="3537" priority="452" operator="notEqual">
      <formula>0</formula>
    </cfRule>
  </conditionalFormatting>
  <conditionalFormatting sqref="AB32:AB33">
    <cfRule type="cellIs" dxfId="3536" priority="449" operator="equal">
      <formula>0</formula>
    </cfRule>
    <cfRule type="cellIs" dxfId="3535" priority="450" operator="notEqual">
      <formula>0</formula>
    </cfRule>
  </conditionalFormatting>
  <conditionalFormatting sqref="AG31">
    <cfRule type="cellIs" dxfId="3534" priority="447" operator="equal">
      <formula>0</formula>
    </cfRule>
    <cfRule type="cellIs" dxfId="3533" priority="448" operator="notEqual">
      <formula>0</formula>
    </cfRule>
  </conditionalFormatting>
  <conditionalFormatting sqref="AG34">
    <cfRule type="cellIs" dxfId="3532" priority="445" operator="equal">
      <formula>0</formula>
    </cfRule>
    <cfRule type="cellIs" dxfId="3531" priority="446" operator="notEqual">
      <formula>0</formula>
    </cfRule>
  </conditionalFormatting>
  <conditionalFormatting sqref="AH31">
    <cfRule type="cellIs" dxfId="3530" priority="443" operator="equal">
      <formula>0</formula>
    </cfRule>
    <cfRule type="cellIs" dxfId="3529" priority="444" operator="notEqual">
      <formula>0</formula>
    </cfRule>
  </conditionalFormatting>
  <conditionalFormatting sqref="AH34">
    <cfRule type="cellIs" dxfId="3528" priority="441" operator="equal">
      <formula>0</formula>
    </cfRule>
    <cfRule type="cellIs" dxfId="3527" priority="442" operator="notEqual">
      <formula>0</formula>
    </cfRule>
  </conditionalFormatting>
  <conditionalFormatting sqref="AI31">
    <cfRule type="cellIs" dxfId="3526" priority="439" operator="equal">
      <formula>0</formula>
    </cfRule>
    <cfRule type="cellIs" dxfId="3525" priority="440" operator="notEqual">
      <formula>0</formula>
    </cfRule>
  </conditionalFormatting>
  <conditionalFormatting sqref="AI34">
    <cfRule type="cellIs" dxfId="3524" priority="437" operator="equal">
      <formula>0</formula>
    </cfRule>
    <cfRule type="cellIs" dxfId="3523" priority="438" operator="notEqual">
      <formula>0</formula>
    </cfRule>
  </conditionalFormatting>
  <conditionalFormatting sqref="AJ31">
    <cfRule type="cellIs" dxfId="3522" priority="435" operator="equal">
      <formula>0</formula>
    </cfRule>
    <cfRule type="cellIs" dxfId="3521" priority="436" operator="notEqual">
      <formula>0</formula>
    </cfRule>
  </conditionalFormatting>
  <conditionalFormatting sqref="AJ34">
    <cfRule type="cellIs" dxfId="3520" priority="433" operator="equal">
      <formula>0</formula>
    </cfRule>
    <cfRule type="cellIs" dxfId="3519" priority="434" operator="notEqual">
      <formula>0</formula>
    </cfRule>
  </conditionalFormatting>
  <conditionalFormatting sqref="U25:U26">
    <cfRule type="cellIs" dxfId="3518" priority="431" operator="equal">
      <formula>0</formula>
    </cfRule>
    <cfRule type="cellIs" dxfId="3517" priority="432" operator="notEqual">
      <formula>0</formula>
    </cfRule>
  </conditionalFormatting>
  <conditionalFormatting sqref="U24">
    <cfRule type="cellIs" dxfId="3516" priority="430" operator="equal">
      <formula>1</formula>
    </cfRule>
  </conditionalFormatting>
  <conditionalFormatting sqref="V25:V26">
    <cfRule type="cellIs" dxfId="3515" priority="428" operator="equal">
      <formula>0</formula>
    </cfRule>
    <cfRule type="cellIs" dxfId="3514" priority="429" operator="notEqual">
      <formula>0</formula>
    </cfRule>
  </conditionalFormatting>
  <conditionalFormatting sqref="V24">
    <cfRule type="cellIs" dxfId="3513" priority="427" operator="equal">
      <formula>1</formula>
    </cfRule>
  </conditionalFormatting>
  <conditionalFormatting sqref="W25:W26">
    <cfRule type="cellIs" dxfId="3512" priority="425" operator="equal">
      <formula>0</formula>
    </cfRule>
    <cfRule type="cellIs" dxfId="3511" priority="426" operator="notEqual">
      <formula>0</formula>
    </cfRule>
  </conditionalFormatting>
  <conditionalFormatting sqref="W24">
    <cfRule type="cellIs" dxfId="3510" priority="424" operator="equal">
      <formula>1</formula>
    </cfRule>
  </conditionalFormatting>
  <conditionalFormatting sqref="X25:X26">
    <cfRule type="cellIs" dxfId="3509" priority="422" operator="equal">
      <formula>0</formula>
    </cfRule>
    <cfRule type="cellIs" dxfId="3508" priority="423" operator="notEqual">
      <formula>0</formula>
    </cfRule>
  </conditionalFormatting>
  <conditionalFormatting sqref="X24">
    <cfRule type="cellIs" dxfId="3507" priority="421" operator="equal">
      <formula>1</formula>
    </cfRule>
  </conditionalFormatting>
  <conditionalFormatting sqref="Y25:Y26">
    <cfRule type="cellIs" dxfId="3506" priority="419" operator="equal">
      <formula>0</formula>
    </cfRule>
    <cfRule type="cellIs" dxfId="3505" priority="420" operator="notEqual">
      <formula>0</formula>
    </cfRule>
  </conditionalFormatting>
  <conditionalFormatting sqref="Z25:Z26">
    <cfRule type="cellIs" dxfId="3504" priority="417" operator="equal">
      <formula>0</formula>
    </cfRule>
    <cfRule type="cellIs" dxfId="3503" priority="418" operator="notEqual">
      <formula>0</formula>
    </cfRule>
  </conditionalFormatting>
  <conditionalFormatting sqref="AA25:AA26">
    <cfRule type="cellIs" dxfId="3502" priority="415" operator="equal">
      <formula>0</formula>
    </cfRule>
    <cfRule type="cellIs" dxfId="3501" priority="416" operator="notEqual">
      <formula>0</formula>
    </cfRule>
  </conditionalFormatting>
  <conditionalFormatting sqref="AB25:AB26">
    <cfRule type="cellIs" dxfId="3500" priority="413" operator="equal">
      <formula>0</formula>
    </cfRule>
    <cfRule type="cellIs" dxfId="3499" priority="414" operator="notEqual">
      <formula>0</formula>
    </cfRule>
  </conditionalFormatting>
  <conditionalFormatting sqref="AG24">
    <cfRule type="cellIs" dxfId="3498" priority="411" operator="equal">
      <formula>0</formula>
    </cfRule>
    <cfRule type="cellIs" dxfId="3497" priority="412" operator="notEqual">
      <formula>0</formula>
    </cfRule>
  </conditionalFormatting>
  <conditionalFormatting sqref="AG27">
    <cfRule type="cellIs" dxfId="3496" priority="409" operator="equal">
      <formula>0</formula>
    </cfRule>
    <cfRule type="cellIs" dxfId="3495" priority="410" operator="notEqual">
      <formula>0</formula>
    </cfRule>
  </conditionalFormatting>
  <conditionalFormatting sqref="AH24">
    <cfRule type="cellIs" dxfId="3494" priority="407" operator="equal">
      <formula>0</formula>
    </cfRule>
    <cfRule type="cellIs" dxfId="3493" priority="408" operator="notEqual">
      <formula>0</formula>
    </cfRule>
  </conditionalFormatting>
  <conditionalFormatting sqref="AH27">
    <cfRule type="cellIs" dxfId="3492" priority="405" operator="equal">
      <formula>0</formula>
    </cfRule>
    <cfRule type="cellIs" dxfId="3491" priority="406" operator="notEqual">
      <formula>0</formula>
    </cfRule>
  </conditionalFormatting>
  <conditionalFormatting sqref="AI24">
    <cfRule type="cellIs" dxfId="3490" priority="403" operator="equal">
      <formula>0</formula>
    </cfRule>
    <cfRule type="cellIs" dxfId="3489" priority="404" operator="notEqual">
      <formula>0</formula>
    </cfRule>
  </conditionalFormatting>
  <conditionalFormatting sqref="AI27">
    <cfRule type="cellIs" dxfId="3488" priority="401" operator="equal">
      <formula>0</formula>
    </cfRule>
    <cfRule type="cellIs" dxfId="3487" priority="402" operator="notEqual">
      <formula>0</formula>
    </cfRule>
  </conditionalFormatting>
  <conditionalFormatting sqref="AJ24">
    <cfRule type="cellIs" dxfId="3486" priority="399" operator="equal">
      <formula>0</formula>
    </cfRule>
    <cfRule type="cellIs" dxfId="3485" priority="400" operator="notEqual">
      <formula>0</formula>
    </cfRule>
  </conditionalFormatting>
  <conditionalFormatting sqref="AJ27">
    <cfRule type="cellIs" dxfId="3484" priority="397" operator="equal">
      <formula>0</formula>
    </cfRule>
    <cfRule type="cellIs" dxfId="3483" priority="398" operator="notEqual">
      <formula>0</formula>
    </cfRule>
  </conditionalFormatting>
  <conditionalFormatting sqref="U18:U19">
    <cfRule type="cellIs" dxfId="3482" priority="395" operator="equal">
      <formula>0</formula>
    </cfRule>
    <cfRule type="cellIs" dxfId="3481" priority="396" operator="notEqual">
      <formula>0</formula>
    </cfRule>
  </conditionalFormatting>
  <conditionalFormatting sqref="U17">
    <cfRule type="cellIs" dxfId="3480" priority="394" operator="equal">
      <formula>1</formula>
    </cfRule>
  </conditionalFormatting>
  <conditionalFormatting sqref="V18:V19">
    <cfRule type="cellIs" dxfId="3479" priority="392" operator="equal">
      <formula>0</formula>
    </cfRule>
    <cfRule type="cellIs" dxfId="3478" priority="393" operator="notEqual">
      <formula>0</formula>
    </cfRule>
  </conditionalFormatting>
  <conditionalFormatting sqref="V17">
    <cfRule type="cellIs" dxfId="3477" priority="391" operator="equal">
      <formula>1</formula>
    </cfRule>
  </conditionalFormatting>
  <conditionalFormatting sqref="W18:W19">
    <cfRule type="cellIs" dxfId="3476" priority="389" operator="equal">
      <formula>0</formula>
    </cfRule>
    <cfRule type="cellIs" dxfId="3475" priority="390" operator="notEqual">
      <formula>0</formula>
    </cfRule>
  </conditionalFormatting>
  <conditionalFormatting sqref="W17">
    <cfRule type="cellIs" dxfId="3474" priority="388" operator="equal">
      <formula>1</formula>
    </cfRule>
  </conditionalFormatting>
  <conditionalFormatting sqref="X18:X19">
    <cfRule type="cellIs" dxfId="3473" priority="386" operator="equal">
      <formula>0</formula>
    </cfRule>
    <cfRule type="cellIs" dxfId="3472" priority="387" operator="notEqual">
      <formula>0</formula>
    </cfRule>
  </conditionalFormatting>
  <conditionalFormatting sqref="X17">
    <cfRule type="cellIs" dxfId="3471" priority="385" operator="equal">
      <formula>1</formula>
    </cfRule>
  </conditionalFormatting>
  <conditionalFormatting sqref="Y18:Y19">
    <cfRule type="cellIs" dxfId="3470" priority="383" operator="equal">
      <formula>0</formula>
    </cfRule>
    <cfRule type="cellIs" dxfId="3469" priority="384" operator="notEqual">
      <formula>0</formula>
    </cfRule>
  </conditionalFormatting>
  <conditionalFormatting sqref="Z18:Z19">
    <cfRule type="cellIs" dxfId="3468" priority="381" operator="equal">
      <formula>0</formula>
    </cfRule>
    <cfRule type="cellIs" dxfId="3467" priority="382" operator="notEqual">
      <formula>0</formula>
    </cfRule>
  </conditionalFormatting>
  <conditionalFormatting sqref="AA18:AA19">
    <cfRule type="cellIs" dxfId="3466" priority="379" operator="equal">
      <formula>0</formula>
    </cfRule>
    <cfRule type="cellIs" dxfId="3465" priority="380" operator="notEqual">
      <formula>0</formula>
    </cfRule>
  </conditionalFormatting>
  <conditionalFormatting sqref="AB18:AB19">
    <cfRule type="cellIs" dxfId="3464" priority="377" operator="equal">
      <formula>0</formula>
    </cfRule>
    <cfRule type="cellIs" dxfId="3463" priority="378" operator="notEqual">
      <formula>0</formula>
    </cfRule>
  </conditionalFormatting>
  <conditionalFormatting sqref="AG17">
    <cfRule type="cellIs" dxfId="3462" priority="375" operator="equal">
      <formula>0</formula>
    </cfRule>
    <cfRule type="cellIs" dxfId="3461" priority="376" operator="notEqual">
      <formula>0</formula>
    </cfRule>
  </conditionalFormatting>
  <conditionalFormatting sqref="AG20">
    <cfRule type="cellIs" dxfId="3460" priority="373" operator="equal">
      <formula>0</formula>
    </cfRule>
    <cfRule type="cellIs" dxfId="3459" priority="374" operator="notEqual">
      <formula>0</formula>
    </cfRule>
  </conditionalFormatting>
  <conditionalFormatting sqref="AH17">
    <cfRule type="cellIs" dxfId="3458" priority="371" operator="equal">
      <formula>0</formula>
    </cfRule>
    <cfRule type="cellIs" dxfId="3457" priority="372" operator="notEqual">
      <formula>0</formula>
    </cfRule>
  </conditionalFormatting>
  <conditionalFormatting sqref="AH20">
    <cfRule type="cellIs" dxfId="3456" priority="369" operator="equal">
      <formula>0</formula>
    </cfRule>
    <cfRule type="cellIs" dxfId="3455" priority="370" operator="notEqual">
      <formula>0</formula>
    </cfRule>
  </conditionalFormatting>
  <conditionalFormatting sqref="AI17">
    <cfRule type="cellIs" dxfId="3454" priority="367" operator="equal">
      <formula>0</formula>
    </cfRule>
    <cfRule type="cellIs" dxfId="3453" priority="368" operator="notEqual">
      <formula>0</formula>
    </cfRule>
  </conditionalFormatting>
  <conditionalFormatting sqref="AI20">
    <cfRule type="cellIs" dxfId="3452" priority="365" operator="equal">
      <formula>0</formula>
    </cfRule>
    <cfRule type="cellIs" dxfId="3451" priority="366" operator="notEqual">
      <formula>0</formula>
    </cfRule>
  </conditionalFormatting>
  <conditionalFormatting sqref="AJ17">
    <cfRule type="cellIs" dxfId="3450" priority="363" operator="equal">
      <formula>0</formula>
    </cfRule>
    <cfRule type="cellIs" dxfId="3449" priority="364" operator="notEqual">
      <formula>0</formula>
    </cfRule>
  </conditionalFormatting>
  <conditionalFormatting sqref="AJ20">
    <cfRule type="cellIs" dxfId="3448" priority="361" operator="equal">
      <formula>0</formula>
    </cfRule>
    <cfRule type="cellIs" dxfId="3447" priority="362" operator="notEqual">
      <formula>0</formula>
    </cfRule>
  </conditionalFormatting>
  <conditionalFormatting sqref="U11:U12">
    <cfRule type="cellIs" dxfId="3446" priority="359" operator="equal">
      <formula>0</formula>
    </cfRule>
    <cfRule type="cellIs" dxfId="3445" priority="360" operator="notEqual">
      <formula>0</formula>
    </cfRule>
  </conditionalFormatting>
  <conditionalFormatting sqref="U10">
    <cfRule type="cellIs" dxfId="3444" priority="358" operator="equal">
      <formula>1</formula>
    </cfRule>
  </conditionalFormatting>
  <conditionalFormatting sqref="V11:V12">
    <cfRule type="cellIs" dxfId="3443" priority="356" operator="equal">
      <formula>0</formula>
    </cfRule>
    <cfRule type="cellIs" dxfId="3442" priority="357" operator="notEqual">
      <formula>0</formula>
    </cfRule>
  </conditionalFormatting>
  <conditionalFormatting sqref="V10">
    <cfRule type="cellIs" dxfId="3441" priority="355" operator="equal">
      <formula>1</formula>
    </cfRule>
  </conditionalFormatting>
  <conditionalFormatting sqref="W11:W12">
    <cfRule type="cellIs" dxfId="3440" priority="353" operator="equal">
      <formula>0</formula>
    </cfRule>
    <cfRule type="cellIs" dxfId="3439" priority="354" operator="notEqual">
      <formula>0</formula>
    </cfRule>
  </conditionalFormatting>
  <conditionalFormatting sqref="W10">
    <cfRule type="cellIs" dxfId="3438" priority="352" operator="equal">
      <formula>1</formula>
    </cfRule>
  </conditionalFormatting>
  <conditionalFormatting sqref="X11:X12">
    <cfRule type="cellIs" dxfId="3437" priority="350" operator="equal">
      <formula>0</formula>
    </cfRule>
    <cfRule type="cellIs" dxfId="3436" priority="351" operator="notEqual">
      <formula>0</formula>
    </cfRule>
  </conditionalFormatting>
  <conditionalFormatting sqref="X10">
    <cfRule type="cellIs" dxfId="3435" priority="349" operator="equal">
      <formula>1</formula>
    </cfRule>
  </conditionalFormatting>
  <conditionalFormatting sqref="Y11:Y12">
    <cfRule type="cellIs" dxfId="3434" priority="347" operator="equal">
      <formula>0</formula>
    </cfRule>
    <cfRule type="cellIs" dxfId="3433" priority="348" operator="notEqual">
      <formula>0</formula>
    </cfRule>
  </conditionalFormatting>
  <conditionalFormatting sqref="Z11:Z12">
    <cfRule type="cellIs" dxfId="3432" priority="345" operator="equal">
      <formula>0</formula>
    </cfRule>
    <cfRule type="cellIs" dxfId="3431" priority="346" operator="notEqual">
      <formula>0</formula>
    </cfRule>
  </conditionalFormatting>
  <conditionalFormatting sqref="AA11:AA12">
    <cfRule type="cellIs" dxfId="3430" priority="343" operator="equal">
      <formula>0</formula>
    </cfRule>
    <cfRule type="cellIs" dxfId="3429" priority="344" operator="notEqual">
      <formula>0</formula>
    </cfRule>
  </conditionalFormatting>
  <conditionalFormatting sqref="AB11:AB12">
    <cfRule type="cellIs" dxfId="3428" priority="341" operator="equal">
      <formula>0</formula>
    </cfRule>
    <cfRule type="cellIs" dxfId="3427" priority="342" operator="notEqual">
      <formula>0</formula>
    </cfRule>
  </conditionalFormatting>
  <conditionalFormatting sqref="AG10">
    <cfRule type="cellIs" dxfId="3426" priority="339" operator="equal">
      <formula>0</formula>
    </cfRule>
    <cfRule type="cellIs" dxfId="3425" priority="340" operator="notEqual">
      <formula>0</formula>
    </cfRule>
  </conditionalFormatting>
  <conditionalFormatting sqref="AG13">
    <cfRule type="cellIs" dxfId="3424" priority="337" operator="equal">
      <formula>0</formula>
    </cfRule>
    <cfRule type="cellIs" dxfId="3423" priority="338" operator="notEqual">
      <formula>0</formula>
    </cfRule>
  </conditionalFormatting>
  <conditionalFormatting sqref="AH10">
    <cfRule type="cellIs" dxfId="3422" priority="335" operator="equal">
      <formula>0</formula>
    </cfRule>
    <cfRule type="cellIs" dxfId="3421" priority="336" operator="notEqual">
      <formula>0</formula>
    </cfRule>
  </conditionalFormatting>
  <conditionalFormatting sqref="AH13">
    <cfRule type="cellIs" dxfId="3420" priority="333" operator="equal">
      <formula>0</formula>
    </cfRule>
    <cfRule type="cellIs" dxfId="3419" priority="334" operator="notEqual">
      <formula>0</formula>
    </cfRule>
  </conditionalFormatting>
  <conditionalFormatting sqref="AI10">
    <cfRule type="cellIs" dxfId="3418" priority="331" operator="equal">
      <formula>0</formula>
    </cfRule>
    <cfRule type="cellIs" dxfId="3417" priority="332" operator="notEqual">
      <formula>0</formula>
    </cfRule>
  </conditionalFormatting>
  <conditionalFormatting sqref="AI13">
    <cfRule type="cellIs" dxfId="3416" priority="329" operator="equal">
      <formula>0</formula>
    </cfRule>
    <cfRule type="cellIs" dxfId="3415" priority="330" operator="notEqual">
      <formula>0</formula>
    </cfRule>
  </conditionalFormatting>
  <conditionalFormatting sqref="AJ10">
    <cfRule type="cellIs" dxfId="3414" priority="327" operator="equal">
      <formula>0</formula>
    </cfRule>
    <cfRule type="cellIs" dxfId="3413" priority="328" operator="notEqual">
      <formula>0</formula>
    </cfRule>
  </conditionalFormatting>
  <conditionalFormatting sqref="AJ13">
    <cfRule type="cellIs" dxfId="3412" priority="325" operator="equal">
      <formula>0</formula>
    </cfRule>
    <cfRule type="cellIs" dxfId="3411" priority="326" operator="notEqual">
      <formula>0</formula>
    </cfRule>
  </conditionalFormatting>
  <conditionalFormatting sqref="U74:U75">
    <cfRule type="cellIs" dxfId="3410" priority="323" operator="equal">
      <formula>0</formula>
    </cfRule>
    <cfRule type="cellIs" dxfId="3409" priority="324" operator="notEqual">
      <formula>0</formula>
    </cfRule>
  </conditionalFormatting>
  <conditionalFormatting sqref="U73">
    <cfRule type="cellIs" dxfId="3408" priority="322" operator="equal">
      <formula>1</formula>
    </cfRule>
  </conditionalFormatting>
  <conditionalFormatting sqref="V74:V75">
    <cfRule type="cellIs" dxfId="3407" priority="320" operator="equal">
      <formula>0</formula>
    </cfRule>
    <cfRule type="cellIs" dxfId="3406" priority="321" operator="notEqual">
      <formula>0</formula>
    </cfRule>
  </conditionalFormatting>
  <conditionalFormatting sqref="V73">
    <cfRule type="cellIs" dxfId="3405" priority="319" operator="equal">
      <formula>1</formula>
    </cfRule>
  </conditionalFormatting>
  <conditionalFormatting sqref="W74:W75">
    <cfRule type="cellIs" dxfId="3404" priority="317" operator="equal">
      <formula>0</formula>
    </cfRule>
    <cfRule type="cellIs" dxfId="3403" priority="318" operator="notEqual">
      <formula>0</formula>
    </cfRule>
  </conditionalFormatting>
  <conditionalFormatting sqref="W73">
    <cfRule type="cellIs" dxfId="3402" priority="316" operator="equal">
      <formula>1</formula>
    </cfRule>
  </conditionalFormatting>
  <conditionalFormatting sqref="X74:X75">
    <cfRule type="cellIs" dxfId="3401" priority="314" operator="equal">
      <formula>0</formula>
    </cfRule>
    <cfRule type="cellIs" dxfId="3400" priority="315" operator="notEqual">
      <formula>0</formula>
    </cfRule>
  </conditionalFormatting>
  <conditionalFormatting sqref="X73">
    <cfRule type="cellIs" dxfId="3399" priority="313" operator="equal">
      <formula>1</formula>
    </cfRule>
  </conditionalFormatting>
  <conditionalFormatting sqref="Y74:Y75">
    <cfRule type="cellIs" dxfId="3398" priority="311" operator="equal">
      <formula>0</formula>
    </cfRule>
    <cfRule type="cellIs" dxfId="3397" priority="312" operator="notEqual">
      <formula>0</formula>
    </cfRule>
  </conditionalFormatting>
  <conditionalFormatting sqref="Z74:Z75">
    <cfRule type="cellIs" dxfId="3396" priority="309" operator="equal">
      <formula>0</formula>
    </cfRule>
    <cfRule type="cellIs" dxfId="3395" priority="310" operator="notEqual">
      <formula>0</formula>
    </cfRule>
  </conditionalFormatting>
  <conditionalFormatting sqref="AA74:AA75">
    <cfRule type="cellIs" dxfId="3394" priority="307" operator="equal">
      <formula>0</formula>
    </cfRule>
    <cfRule type="cellIs" dxfId="3393" priority="308" operator="notEqual">
      <formula>0</formula>
    </cfRule>
  </conditionalFormatting>
  <conditionalFormatting sqref="AB74:AB75">
    <cfRule type="cellIs" dxfId="3392" priority="305" operator="equal">
      <formula>0</formula>
    </cfRule>
    <cfRule type="cellIs" dxfId="3391" priority="306" operator="notEqual">
      <formula>0</formula>
    </cfRule>
  </conditionalFormatting>
  <conditionalFormatting sqref="AG73">
    <cfRule type="cellIs" dxfId="3390" priority="303" operator="equal">
      <formula>0</formula>
    </cfRule>
    <cfRule type="cellIs" dxfId="3389" priority="304" operator="notEqual">
      <formula>0</formula>
    </cfRule>
  </conditionalFormatting>
  <conditionalFormatting sqref="AG76">
    <cfRule type="cellIs" dxfId="3388" priority="301" operator="equal">
      <formula>0</formula>
    </cfRule>
    <cfRule type="cellIs" dxfId="3387" priority="302" operator="notEqual">
      <formula>0</formula>
    </cfRule>
  </conditionalFormatting>
  <conditionalFormatting sqref="AH73">
    <cfRule type="cellIs" dxfId="3386" priority="299" operator="equal">
      <formula>0</formula>
    </cfRule>
    <cfRule type="cellIs" dxfId="3385" priority="300" operator="notEqual">
      <formula>0</formula>
    </cfRule>
  </conditionalFormatting>
  <conditionalFormatting sqref="AH76">
    <cfRule type="cellIs" dxfId="3384" priority="297" operator="equal">
      <formula>0</formula>
    </cfRule>
    <cfRule type="cellIs" dxfId="3383" priority="298" operator="notEqual">
      <formula>0</formula>
    </cfRule>
  </conditionalFormatting>
  <conditionalFormatting sqref="AI73">
    <cfRule type="cellIs" dxfId="3382" priority="295" operator="equal">
      <formula>0</formula>
    </cfRule>
    <cfRule type="cellIs" dxfId="3381" priority="296" operator="notEqual">
      <formula>0</formula>
    </cfRule>
  </conditionalFormatting>
  <conditionalFormatting sqref="AI76">
    <cfRule type="cellIs" dxfId="3380" priority="293" operator="equal">
      <formula>0</formula>
    </cfRule>
    <cfRule type="cellIs" dxfId="3379" priority="294" operator="notEqual">
      <formula>0</formula>
    </cfRule>
  </conditionalFormatting>
  <conditionalFormatting sqref="AJ73">
    <cfRule type="cellIs" dxfId="3378" priority="291" operator="equal">
      <formula>0</formula>
    </cfRule>
    <cfRule type="cellIs" dxfId="3377" priority="292" operator="notEqual">
      <formula>0</formula>
    </cfRule>
  </conditionalFormatting>
  <conditionalFormatting sqref="AJ76">
    <cfRule type="cellIs" dxfId="3376" priority="289" operator="equal">
      <formula>0</formula>
    </cfRule>
    <cfRule type="cellIs" dxfId="3375" priority="290" operator="notEqual">
      <formula>0</formula>
    </cfRule>
  </conditionalFormatting>
  <conditionalFormatting sqref="U81:U82">
    <cfRule type="cellIs" dxfId="3374" priority="287" operator="equal">
      <formula>0</formula>
    </cfRule>
    <cfRule type="cellIs" dxfId="3373" priority="288" operator="notEqual">
      <formula>0</formula>
    </cfRule>
  </conditionalFormatting>
  <conditionalFormatting sqref="U80">
    <cfRule type="cellIs" dxfId="3372" priority="286" operator="equal">
      <formula>1</formula>
    </cfRule>
  </conditionalFormatting>
  <conditionalFormatting sqref="V81:V82">
    <cfRule type="cellIs" dxfId="3371" priority="284" operator="equal">
      <formula>0</formula>
    </cfRule>
    <cfRule type="cellIs" dxfId="3370" priority="285" operator="notEqual">
      <formula>0</formula>
    </cfRule>
  </conditionalFormatting>
  <conditionalFormatting sqref="V80">
    <cfRule type="cellIs" dxfId="3369" priority="283" operator="equal">
      <formula>1</formula>
    </cfRule>
  </conditionalFormatting>
  <conditionalFormatting sqref="W81:W82">
    <cfRule type="cellIs" dxfId="3368" priority="281" operator="equal">
      <formula>0</formula>
    </cfRule>
    <cfRule type="cellIs" dxfId="3367" priority="282" operator="notEqual">
      <formula>0</formula>
    </cfRule>
  </conditionalFormatting>
  <conditionalFormatting sqref="W80">
    <cfRule type="cellIs" dxfId="3366" priority="280" operator="equal">
      <formula>1</formula>
    </cfRule>
  </conditionalFormatting>
  <conditionalFormatting sqref="X81:X82">
    <cfRule type="cellIs" dxfId="3365" priority="278" operator="equal">
      <formula>0</formula>
    </cfRule>
    <cfRule type="cellIs" dxfId="3364" priority="279" operator="notEqual">
      <formula>0</formula>
    </cfRule>
  </conditionalFormatting>
  <conditionalFormatting sqref="X80">
    <cfRule type="cellIs" dxfId="3363" priority="277" operator="equal">
      <formula>1</formula>
    </cfRule>
  </conditionalFormatting>
  <conditionalFormatting sqref="Y81:Y82">
    <cfRule type="cellIs" dxfId="3362" priority="275" operator="equal">
      <formula>0</formula>
    </cfRule>
    <cfRule type="cellIs" dxfId="3361" priority="276" operator="notEqual">
      <formula>0</formula>
    </cfRule>
  </conditionalFormatting>
  <conditionalFormatting sqref="Z81:Z82">
    <cfRule type="cellIs" dxfId="3360" priority="273" operator="equal">
      <formula>0</formula>
    </cfRule>
    <cfRule type="cellIs" dxfId="3359" priority="274" operator="notEqual">
      <formula>0</formula>
    </cfRule>
  </conditionalFormatting>
  <conditionalFormatting sqref="AA81:AA82">
    <cfRule type="cellIs" dxfId="3358" priority="271" operator="equal">
      <formula>0</formula>
    </cfRule>
    <cfRule type="cellIs" dxfId="3357" priority="272" operator="notEqual">
      <formula>0</formula>
    </cfRule>
  </conditionalFormatting>
  <conditionalFormatting sqref="AB81:AB82">
    <cfRule type="cellIs" dxfId="3356" priority="269" operator="equal">
      <formula>0</formula>
    </cfRule>
    <cfRule type="cellIs" dxfId="3355" priority="270" operator="notEqual">
      <formula>0</formula>
    </cfRule>
  </conditionalFormatting>
  <conditionalFormatting sqref="AG80">
    <cfRule type="cellIs" dxfId="3354" priority="267" operator="equal">
      <formula>0</formula>
    </cfRule>
    <cfRule type="cellIs" dxfId="3353" priority="268" operator="notEqual">
      <formula>0</formula>
    </cfRule>
  </conditionalFormatting>
  <conditionalFormatting sqref="AG83">
    <cfRule type="cellIs" dxfId="3352" priority="265" operator="equal">
      <formula>0</formula>
    </cfRule>
    <cfRule type="cellIs" dxfId="3351" priority="266" operator="notEqual">
      <formula>0</formula>
    </cfRule>
  </conditionalFormatting>
  <conditionalFormatting sqref="AH80">
    <cfRule type="cellIs" dxfId="3350" priority="263" operator="equal">
      <formula>0</formula>
    </cfRule>
    <cfRule type="cellIs" dxfId="3349" priority="264" operator="notEqual">
      <formula>0</formula>
    </cfRule>
  </conditionalFormatting>
  <conditionalFormatting sqref="AH83">
    <cfRule type="cellIs" dxfId="3348" priority="261" operator="equal">
      <formula>0</formula>
    </cfRule>
    <cfRule type="cellIs" dxfId="3347" priority="262" operator="notEqual">
      <formula>0</formula>
    </cfRule>
  </conditionalFormatting>
  <conditionalFormatting sqref="AI80">
    <cfRule type="cellIs" dxfId="3346" priority="259" operator="equal">
      <formula>0</formula>
    </cfRule>
    <cfRule type="cellIs" dxfId="3345" priority="260" operator="notEqual">
      <formula>0</formula>
    </cfRule>
  </conditionalFormatting>
  <conditionalFormatting sqref="AI83">
    <cfRule type="cellIs" dxfId="3344" priority="257" operator="equal">
      <formula>0</formula>
    </cfRule>
    <cfRule type="cellIs" dxfId="3343" priority="258" operator="notEqual">
      <formula>0</formula>
    </cfRule>
  </conditionalFormatting>
  <conditionalFormatting sqref="AJ80">
    <cfRule type="cellIs" dxfId="3342" priority="255" operator="equal">
      <formula>0</formula>
    </cfRule>
    <cfRule type="cellIs" dxfId="3341" priority="256" operator="notEqual">
      <formula>0</formula>
    </cfRule>
  </conditionalFormatting>
  <conditionalFormatting sqref="AJ83">
    <cfRule type="cellIs" dxfId="3340" priority="253" operator="equal">
      <formula>0</formula>
    </cfRule>
    <cfRule type="cellIs" dxfId="3339" priority="254" operator="notEqual">
      <formula>0</formula>
    </cfRule>
  </conditionalFormatting>
  <conditionalFormatting sqref="U88:U89">
    <cfRule type="cellIs" dxfId="3338" priority="251" operator="equal">
      <formula>0</formula>
    </cfRule>
    <cfRule type="cellIs" dxfId="3337" priority="252" operator="notEqual">
      <formula>0</formula>
    </cfRule>
  </conditionalFormatting>
  <conditionalFormatting sqref="U87">
    <cfRule type="cellIs" dxfId="3336" priority="250" operator="equal">
      <formula>1</formula>
    </cfRule>
  </conditionalFormatting>
  <conditionalFormatting sqref="V88:V89">
    <cfRule type="cellIs" dxfId="3335" priority="248" operator="equal">
      <formula>0</formula>
    </cfRule>
    <cfRule type="cellIs" dxfId="3334" priority="249" operator="notEqual">
      <formula>0</formula>
    </cfRule>
  </conditionalFormatting>
  <conditionalFormatting sqref="V87">
    <cfRule type="cellIs" dxfId="3333" priority="247" operator="equal">
      <formula>1</formula>
    </cfRule>
  </conditionalFormatting>
  <conditionalFormatting sqref="W88:W89">
    <cfRule type="cellIs" dxfId="3332" priority="245" operator="equal">
      <formula>0</formula>
    </cfRule>
    <cfRule type="cellIs" dxfId="3331" priority="246" operator="notEqual">
      <formula>0</formula>
    </cfRule>
  </conditionalFormatting>
  <conditionalFormatting sqref="W87">
    <cfRule type="cellIs" dxfId="3330" priority="244" operator="equal">
      <formula>1</formula>
    </cfRule>
  </conditionalFormatting>
  <conditionalFormatting sqref="X88:X89">
    <cfRule type="cellIs" dxfId="3329" priority="242" operator="equal">
      <formula>0</formula>
    </cfRule>
    <cfRule type="cellIs" dxfId="3328" priority="243" operator="notEqual">
      <formula>0</formula>
    </cfRule>
  </conditionalFormatting>
  <conditionalFormatting sqref="X87">
    <cfRule type="cellIs" dxfId="3327" priority="241" operator="equal">
      <formula>1</formula>
    </cfRule>
  </conditionalFormatting>
  <conditionalFormatting sqref="Y88:Y89">
    <cfRule type="cellIs" dxfId="3326" priority="239" operator="equal">
      <formula>0</formula>
    </cfRule>
    <cfRule type="cellIs" dxfId="3325" priority="240" operator="notEqual">
      <formula>0</formula>
    </cfRule>
  </conditionalFormatting>
  <conditionalFormatting sqref="Z88:Z89">
    <cfRule type="cellIs" dxfId="3324" priority="237" operator="equal">
      <formula>0</formula>
    </cfRule>
    <cfRule type="cellIs" dxfId="3323" priority="238" operator="notEqual">
      <formula>0</formula>
    </cfRule>
  </conditionalFormatting>
  <conditionalFormatting sqref="AA88:AA89">
    <cfRule type="cellIs" dxfId="3322" priority="235" operator="equal">
      <formula>0</formula>
    </cfRule>
    <cfRule type="cellIs" dxfId="3321" priority="236" operator="notEqual">
      <formula>0</formula>
    </cfRule>
  </conditionalFormatting>
  <conditionalFormatting sqref="AB88:AB89">
    <cfRule type="cellIs" dxfId="3320" priority="233" operator="equal">
      <formula>0</formula>
    </cfRule>
    <cfRule type="cellIs" dxfId="3319" priority="234" operator="notEqual">
      <formula>0</formula>
    </cfRule>
  </conditionalFormatting>
  <conditionalFormatting sqref="AG87">
    <cfRule type="cellIs" dxfId="3318" priority="231" operator="equal">
      <formula>0</formula>
    </cfRule>
    <cfRule type="cellIs" dxfId="3317" priority="232" operator="notEqual">
      <formula>0</formula>
    </cfRule>
  </conditionalFormatting>
  <conditionalFormatting sqref="AG90">
    <cfRule type="cellIs" dxfId="3316" priority="229" operator="equal">
      <formula>0</formula>
    </cfRule>
    <cfRule type="cellIs" dxfId="3315" priority="230" operator="notEqual">
      <formula>0</formula>
    </cfRule>
  </conditionalFormatting>
  <conditionalFormatting sqref="AH87">
    <cfRule type="cellIs" dxfId="3314" priority="227" operator="equal">
      <formula>0</formula>
    </cfRule>
    <cfRule type="cellIs" dxfId="3313" priority="228" operator="notEqual">
      <formula>0</formula>
    </cfRule>
  </conditionalFormatting>
  <conditionalFormatting sqref="AH90">
    <cfRule type="cellIs" dxfId="3312" priority="225" operator="equal">
      <formula>0</formula>
    </cfRule>
    <cfRule type="cellIs" dxfId="3311" priority="226" operator="notEqual">
      <formula>0</formula>
    </cfRule>
  </conditionalFormatting>
  <conditionalFormatting sqref="AI87">
    <cfRule type="cellIs" dxfId="3310" priority="223" operator="equal">
      <formula>0</formula>
    </cfRule>
    <cfRule type="cellIs" dxfId="3309" priority="224" operator="notEqual">
      <formula>0</formula>
    </cfRule>
  </conditionalFormatting>
  <conditionalFormatting sqref="AI90">
    <cfRule type="cellIs" dxfId="3308" priority="221" operator="equal">
      <formula>0</formula>
    </cfRule>
    <cfRule type="cellIs" dxfId="3307" priority="222" operator="notEqual">
      <formula>0</formula>
    </cfRule>
  </conditionalFormatting>
  <conditionalFormatting sqref="AJ87">
    <cfRule type="cellIs" dxfId="3306" priority="219" operator="equal">
      <formula>0</formula>
    </cfRule>
    <cfRule type="cellIs" dxfId="3305" priority="220" operator="notEqual">
      <formula>0</formula>
    </cfRule>
  </conditionalFormatting>
  <conditionalFormatting sqref="AJ90">
    <cfRule type="cellIs" dxfId="3304" priority="217" operator="equal">
      <formula>0</formula>
    </cfRule>
    <cfRule type="cellIs" dxfId="3303" priority="218" operator="notEqual">
      <formula>0</formula>
    </cfRule>
  </conditionalFormatting>
  <conditionalFormatting sqref="U95:U96">
    <cfRule type="cellIs" dxfId="3302" priority="215" operator="equal">
      <formula>0</formula>
    </cfRule>
    <cfRule type="cellIs" dxfId="3301" priority="216" operator="notEqual">
      <formula>0</formula>
    </cfRule>
  </conditionalFormatting>
  <conditionalFormatting sqref="U94">
    <cfRule type="cellIs" dxfId="3300" priority="214" operator="equal">
      <formula>1</formula>
    </cfRule>
  </conditionalFormatting>
  <conditionalFormatting sqref="V95:V96">
    <cfRule type="cellIs" dxfId="3299" priority="212" operator="equal">
      <formula>0</formula>
    </cfRule>
    <cfRule type="cellIs" dxfId="3298" priority="213" operator="notEqual">
      <formula>0</formula>
    </cfRule>
  </conditionalFormatting>
  <conditionalFormatting sqref="V94">
    <cfRule type="cellIs" dxfId="3297" priority="211" operator="equal">
      <formula>1</formula>
    </cfRule>
  </conditionalFormatting>
  <conditionalFormatting sqref="W95:W96">
    <cfRule type="cellIs" dxfId="3296" priority="209" operator="equal">
      <formula>0</formula>
    </cfRule>
    <cfRule type="cellIs" dxfId="3295" priority="210" operator="notEqual">
      <formula>0</formula>
    </cfRule>
  </conditionalFormatting>
  <conditionalFormatting sqref="W94">
    <cfRule type="cellIs" dxfId="3294" priority="208" operator="equal">
      <formula>1</formula>
    </cfRule>
  </conditionalFormatting>
  <conditionalFormatting sqref="X95:X96">
    <cfRule type="cellIs" dxfId="3293" priority="206" operator="equal">
      <formula>0</formula>
    </cfRule>
    <cfRule type="cellIs" dxfId="3292" priority="207" operator="notEqual">
      <formula>0</formula>
    </cfRule>
  </conditionalFormatting>
  <conditionalFormatting sqref="X94">
    <cfRule type="cellIs" dxfId="3291" priority="205" operator="equal">
      <formula>1</formula>
    </cfRule>
  </conditionalFormatting>
  <conditionalFormatting sqref="Y95:Y96">
    <cfRule type="cellIs" dxfId="3290" priority="203" operator="equal">
      <formula>0</formula>
    </cfRule>
    <cfRule type="cellIs" dxfId="3289" priority="204" operator="notEqual">
      <formula>0</formula>
    </cfRule>
  </conditionalFormatting>
  <conditionalFormatting sqref="Z95:Z96">
    <cfRule type="cellIs" dxfId="3288" priority="201" operator="equal">
      <formula>0</formula>
    </cfRule>
    <cfRule type="cellIs" dxfId="3287" priority="202" operator="notEqual">
      <formula>0</formula>
    </cfRule>
  </conditionalFormatting>
  <conditionalFormatting sqref="AA95:AA96">
    <cfRule type="cellIs" dxfId="3286" priority="199" operator="equal">
      <formula>0</formula>
    </cfRule>
    <cfRule type="cellIs" dxfId="3285" priority="200" operator="notEqual">
      <formula>0</formula>
    </cfRule>
  </conditionalFormatting>
  <conditionalFormatting sqref="AB95:AB96">
    <cfRule type="cellIs" dxfId="3284" priority="197" operator="equal">
      <formula>0</formula>
    </cfRule>
    <cfRule type="cellIs" dxfId="3283" priority="198" operator="notEqual">
      <formula>0</formula>
    </cfRule>
  </conditionalFormatting>
  <conditionalFormatting sqref="AG94">
    <cfRule type="cellIs" dxfId="3282" priority="195" operator="equal">
      <formula>0</formula>
    </cfRule>
    <cfRule type="cellIs" dxfId="3281" priority="196" operator="notEqual">
      <formula>0</formula>
    </cfRule>
  </conditionalFormatting>
  <conditionalFormatting sqref="AG97">
    <cfRule type="cellIs" dxfId="3280" priority="193" operator="equal">
      <formula>0</formula>
    </cfRule>
    <cfRule type="cellIs" dxfId="3279" priority="194" operator="notEqual">
      <formula>0</formula>
    </cfRule>
  </conditionalFormatting>
  <conditionalFormatting sqref="AH94">
    <cfRule type="cellIs" dxfId="3278" priority="191" operator="equal">
      <formula>0</formula>
    </cfRule>
    <cfRule type="cellIs" dxfId="3277" priority="192" operator="notEqual">
      <formula>0</formula>
    </cfRule>
  </conditionalFormatting>
  <conditionalFormatting sqref="AH97">
    <cfRule type="cellIs" dxfId="3276" priority="189" operator="equal">
      <formula>0</formula>
    </cfRule>
    <cfRule type="cellIs" dxfId="3275" priority="190" operator="notEqual">
      <formula>0</formula>
    </cfRule>
  </conditionalFormatting>
  <conditionalFormatting sqref="AI94">
    <cfRule type="cellIs" dxfId="3274" priority="187" operator="equal">
      <formula>0</formula>
    </cfRule>
    <cfRule type="cellIs" dxfId="3273" priority="188" operator="notEqual">
      <formula>0</formula>
    </cfRule>
  </conditionalFormatting>
  <conditionalFormatting sqref="AI97">
    <cfRule type="cellIs" dxfId="3272" priority="185" operator="equal">
      <formula>0</formula>
    </cfRule>
    <cfRule type="cellIs" dxfId="3271" priority="186" operator="notEqual">
      <formula>0</formula>
    </cfRule>
  </conditionalFormatting>
  <conditionalFormatting sqref="AJ94">
    <cfRule type="cellIs" dxfId="3270" priority="183" operator="equal">
      <formula>0</formula>
    </cfRule>
    <cfRule type="cellIs" dxfId="3269" priority="184" operator="notEqual">
      <formula>0</formula>
    </cfRule>
  </conditionalFormatting>
  <conditionalFormatting sqref="AJ97">
    <cfRule type="cellIs" dxfId="3268" priority="181" operator="equal">
      <formula>0</formula>
    </cfRule>
    <cfRule type="cellIs" dxfId="3267" priority="182" operator="notEqual">
      <formula>0</formula>
    </cfRule>
  </conditionalFormatting>
  <conditionalFormatting sqref="U102:U103">
    <cfRule type="cellIs" dxfId="3266" priority="179" operator="equal">
      <formula>0</formula>
    </cfRule>
    <cfRule type="cellIs" dxfId="3265" priority="180" operator="notEqual">
      <formula>0</formula>
    </cfRule>
  </conditionalFormatting>
  <conditionalFormatting sqref="U101">
    <cfRule type="cellIs" dxfId="3264" priority="178" operator="equal">
      <formula>1</formula>
    </cfRule>
  </conditionalFormatting>
  <conditionalFormatting sqref="V102:V103">
    <cfRule type="cellIs" dxfId="3263" priority="176" operator="equal">
      <formula>0</formula>
    </cfRule>
    <cfRule type="cellIs" dxfId="3262" priority="177" operator="notEqual">
      <formula>0</formula>
    </cfRule>
  </conditionalFormatting>
  <conditionalFormatting sqref="V101">
    <cfRule type="cellIs" dxfId="3261" priority="175" operator="equal">
      <formula>1</formula>
    </cfRule>
  </conditionalFormatting>
  <conditionalFormatting sqref="W102:W103">
    <cfRule type="cellIs" dxfId="3260" priority="173" operator="equal">
      <formula>0</formula>
    </cfRule>
    <cfRule type="cellIs" dxfId="3259" priority="174" operator="notEqual">
      <formula>0</formula>
    </cfRule>
  </conditionalFormatting>
  <conditionalFormatting sqref="W101">
    <cfRule type="cellIs" dxfId="3258" priority="172" operator="equal">
      <formula>1</formula>
    </cfRule>
  </conditionalFormatting>
  <conditionalFormatting sqref="X102:X103">
    <cfRule type="cellIs" dxfId="3257" priority="170" operator="equal">
      <formula>0</formula>
    </cfRule>
    <cfRule type="cellIs" dxfId="3256" priority="171" operator="notEqual">
      <formula>0</formula>
    </cfRule>
  </conditionalFormatting>
  <conditionalFormatting sqref="X101">
    <cfRule type="cellIs" dxfId="3255" priority="169" operator="equal">
      <formula>1</formula>
    </cfRule>
  </conditionalFormatting>
  <conditionalFormatting sqref="Y102:Y103">
    <cfRule type="cellIs" dxfId="3254" priority="167" operator="equal">
      <formula>0</formula>
    </cfRule>
    <cfRule type="cellIs" dxfId="3253" priority="168" operator="notEqual">
      <formula>0</formula>
    </cfRule>
  </conditionalFormatting>
  <conditionalFormatting sqref="Z102:Z103">
    <cfRule type="cellIs" dxfId="3252" priority="165" operator="equal">
      <formula>0</formula>
    </cfRule>
    <cfRule type="cellIs" dxfId="3251" priority="166" operator="notEqual">
      <formula>0</formula>
    </cfRule>
  </conditionalFormatting>
  <conditionalFormatting sqref="AA102:AA103">
    <cfRule type="cellIs" dxfId="3250" priority="163" operator="equal">
      <formula>0</formula>
    </cfRule>
    <cfRule type="cellIs" dxfId="3249" priority="164" operator="notEqual">
      <formula>0</formula>
    </cfRule>
  </conditionalFormatting>
  <conditionalFormatting sqref="AB102:AB103">
    <cfRule type="cellIs" dxfId="3248" priority="161" operator="equal">
      <formula>0</formula>
    </cfRule>
    <cfRule type="cellIs" dxfId="3247" priority="162" operator="notEqual">
      <formula>0</formula>
    </cfRule>
  </conditionalFormatting>
  <conditionalFormatting sqref="AG101">
    <cfRule type="cellIs" dxfId="3246" priority="159" operator="equal">
      <formula>0</formula>
    </cfRule>
    <cfRule type="cellIs" dxfId="3245" priority="160" operator="notEqual">
      <formula>0</formula>
    </cfRule>
  </conditionalFormatting>
  <conditionalFormatting sqref="AG104">
    <cfRule type="cellIs" dxfId="3244" priority="157" operator="equal">
      <formula>0</formula>
    </cfRule>
    <cfRule type="cellIs" dxfId="3243" priority="158" operator="notEqual">
      <formula>0</formula>
    </cfRule>
  </conditionalFormatting>
  <conditionalFormatting sqref="AH101">
    <cfRule type="cellIs" dxfId="3242" priority="155" operator="equal">
      <formula>0</formula>
    </cfRule>
    <cfRule type="cellIs" dxfId="3241" priority="156" operator="notEqual">
      <formula>0</formula>
    </cfRule>
  </conditionalFormatting>
  <conditionalFormatting sqref="AH104">
    <cfRule type="cellIs" dxfId="3240" priority="153" operator="equal">
      <formula>0</formula>
    </cfRule>
    <cfRule type="cellIs" dxfId="3239" priority="154" operator="notEqual">
      <formula>0</formula>
    </cfRule>
  </conditionalFormatting>
  <conditionalFormatting sqref="AI101">
    <cfRule type="cellIs" dxfId="3238" priority="151" operator="equal">
      <formula>0</formula>
    </cfRule>
    <cfRule type="cellIs" dxfId="3237" priority="152" operator="notEqual">
      <formula>0</formula>
    </cfRule>
  </conditionalFormatting>
  <conditionalFormatting sqref="AI104">
    <cfRule type="cellIs" dxfId="3236" priority="149" operator="equal">
      <formula>0</formula>
    </cfRule>
    <cfRule type="cellIs" dxfId="3235" priority="150" operator="notEqual">
      <formula>0</formula>
    </cfRule>
  </conditionalFormatting>
  <conditionalFormatting sqref="AJ101">
    <cfRule type="cellIs" dxfId="3234" priority="147" operator="equal">
      <formula>0</formula>
    </cfRule>
    <cfRule type="cellIs" dxfId="3233" priority="148" operator="notEqual">
      <formula>0</formula>
    </cfRule>
  </conditionalFormatting>
  <conditionalFormatting sqref="AJ104">
    <cfRule type="cellIs" dxfId="3232" priority="145" operator="equal">
      <formula>0</formula>
    </cfRule>
    <cfRule type="cellIs" dxfId="3231" priority="146" operator="notEqual">
      <formula>0</formula>
    </cfRule>
  </conditionalFormatting>
  <conditionalFormatting sqref="C81:C82">
    <cfRule type="cellIs" dxfId="3230" priority="143" operator="equal">
      <formula>0</formula>
    </cfRule>
    <cfRule type="cellIs" dxfId="3229" priority="144" operator="notEqual">
      <formula>0</formula>
    </cfRule>
  </conditionalFormatting>
  <conditionalFormatting sqref="C80">
    <cfRule type="cellIs" dxfId="3228" priority="142" operator="equal">
      <formula>1</formula>
    </cfRule>
  </conditionalFormatting>
  <conditionalFormatting sqref="D81:D82">
    <cfRule type="cellIs" dxfId="3227" priority="140" operator="equal">
      <formula>0</formula>
    </cfRule>
    <cfRule type="cellIs" dxfId="3226" priority="141" operator="notEqual">
      <formula>0</formula>
    </cfRule>
  </conditionalFormatting>
  <conditionalFormatting sqref="D80">
    <cfRule type="cellIs" dxfId="3225" priority="139" operator="equal">
      <formula>1</formula>
    </cfRule>
  </conditionalFormatting>
  <conditionalFormatting sqref="E81:E82">
    <cfRule type="cellIs" dxfId="3224" priority="137" operator="equal">
      <formula>0</formula>
    </cfRule>
    <cfRule type="cellIs" dxfId="3223" priority="138" operator="notEqual">
      <formula>0</formula>
    </cfRule>
  </conditionalFormatting>
  <conditionalFormatting sqref="E80">
    <cfRule type="cellIs" dxfId="3222" priority="136" operator="equal">
      <formula>1</formula>
    </cfRule>
  </conditionalFormatting>
  <conditionalFormatting sqref="F81:F82">
    <cfRule type="cellIs" dxfId="3221" priority="134" operator="equal">
      <formula>0</formula>
    </cfRule>
    <cfRule type="cellIs" dxfId="3220" priority="135" operator="notEqual">
      <formula>0</formula>
    </cfRule>
  </conditionalFormatting>
  <conditionalFormatting sqref="F80">
    <cfRule type="cellIs" dxfId="3219" priority="133" operator="equal">
      <formula>1</formula>
    </cfRule>
  </conditionalFormatting>
  <conditionalFormatting sqref="G81:G82">
    <cfRule type="cellIs" dxfId="3218" priority="131" operator="equal">
      <formula>0</formula>
    </cfRule>
    <cfRule type="cellIs" dxfId="3217" priority="132" operator="notEqual">
      <formula>0</formula>
    </cfRule>
  </conditionalFormatting>
  <conditionalFormatting sqref="H81:H82">
    <cfRule type="cellIs" dxfId="3216" priority="129" operator="equal">
      <formula>0</formula>
    </cfRule>
    <cfRule type="cellIs" dxfId="3215" priority="130" operator="notEqual">
      <formula>0</formula>
    </cfRule>
  </conditionalFormatting>
  <conditionalFormatting sqref="I81:I82">
    <cfRule type="cellIs" dxfId="3214" priority="127" operator="equal">
      <formula>0</formula>
    </cfRule>
    <cfRule type="cellIs" dxfId="3213" priority="128" operator="notEqual">
      <formula>0</formula>
    </cfRule>
  </conditionalFormatting>
  <conditionalFormatting sqref="J81:J82">
    <cfRule type="cellIs" dxfId="3212" priority="125" operator="equal">
      <formula>0</formula>
    </cfRule>
    <cfRule type="cellIs" dxfId="3211" priority="126" operator="notEqual">
      <formula>0</formula>
    </cfRule>
  </conditionalFormatting>
  <conditionalFormatting sqref="O80">
    <cfRule type="cellIs" dxfId="3210" priority="123" operator="equal">
      <formula>0</formula>
    </cfRule>
    <cfRule type="cellIs" dxfId="3209" priority="124" operator="notEqual">
      <formula>0</formula>
    </cfRule>
  </conditionalFormatting>
  <conditionalFormatting sqref="O83">
    <cfRule type="cellIs" dxfId="3208" priority="121" operator="equal">
      <formula>0</formula>
    </cfRule>
    <cfRule type="cellIs" dxfId="3207" priority="122" operator="notEqual">
      <formula>0</formula>
    </cfRule>
  </conditionalFormatting>
  <conditionalFormatting sqref="P80">
    <cfRule type="cellIs" dxfId="3206" priority="119" operator="equal">
      <formula>0</formula>
    </cfRule>
    <cfRule type="cellIs" dxfId="3205" priority="120" operator="notEqual">
      <formula>0</formula>
    </cfRule>
  </conditionalFormatting>
  <conditionalFormatting sqref="P83">
    <cfRule type="cellIs" dxfId="3204" priority="117" operator="equal">
      <formula>0</formula>
    </cfRule>
    <cfRule type="cellIs" dxfId="3203" priority="118" operator="notEqual">
      <formula>0</formula>
    </cfRule>
  </conditionalFormatting>
  <conditionalFormatting sqref="Q80">
    <cfRule type="cellIs" dxfId="3202" priority="115" operator="equal">
      <formula>0</formula>
    </cfRule>
    <cfRule type="cellIs" dxfId="3201" priority="116" operator="notEqual">
      <formula>0</formula>
    </cfRule>
  </conditionalFormatting>
  <conditionalFormatting sqref="Q83">
    <cfRule type="cellIs" dxfId="3200" priority="113" operator="equal">
      <formula>0</formula>
    </cfRule>
    <cfRule type="cellIs" dxfId="3199" priority="114" operator="notEqual">
      <formula>0</formula>
    </cfRule>
  </conditionalFormatting>
  <conditionalFormatting sqref="R80">
    <cfRule type="cellIs" dxfId="3198" priority="111" operator="equal">
      <formula>0</formula>
    </cfRule>
    <cfRule type="cellIs" dxfId="3197" priority="112" operator="notEqual">
      <formula>0</formula>
    </cfRule>
  </conditionalFormatting>
  <conditionalFormatting sqref="R83">
    <cfRule type="cellIs" dxfId="3196" priority="109" operator="equal">
      <formula>0</formula>
    </cfRule>
    <cfRule type="cellIs" dxfId="3195" priority="110" operator="notEqual">
      <formula>0</formula>
    </cfRule>
  </conditionalFormatting>
  <conditionalFormatting sqref="C88:C89">
    <cfRule type="cellIs" dxfId="3194" priority="107" operator="equal">
      <formula>0</formula>
    </cfRule>
    <cfRule type="cellIs" dxfId="3193" priority="108" operator="notEqual">
      <formula>0</formula>
    </cfRule>
  </conditionalFormatting>
  <conditionalFormatting sqref="C87">
    <cfRule type="cellIs" dxfId="3192" priority="106" operator="equal">
      <formula>1</formula>
    </cfRule>
  </conditionalFormatting>
  <conditionalFormatting sqref="D88:D89">
    <cfRule type="cellIs" dxfId="3191" priority="104" operator="equal">
      <formula>0</formula>
    </cfRule>
    <cfRule type="cellIs" dxfId="3190" priority="105" operator="notEqual">
      <formula>0</formula>
    </cfRule>
  </conditionalFormatting>
  <conditionalFormatting sqref="D87">
    <cfRule type="cellIs" dxfId="3189" priority="103" operator="equal">
      <formula>1</formula>
    </cfRule>
  </conditionalFormatting>
  <conditionalFormatting sqref="E88:E89">
    <cfRule type="cellIs" dxfId="3188" priority="101" operator="equal">
      <formula>0</formula>
    </cfRule>
    <cfRule type="cellIs" dxfId="3187" priority="102" operator="notEqual">
      <formula>0</formula>
    </cfRule>
  </conditionalFormatting>
  <conditionalFormatting sqref="E87">
    <cfRule type="cellIs" dxfId="3186" priority="100" operator="equal">
      <formula>1</formula>
    </cfRule>
  </conditionalFormatting>
  <conditionalFormatting sqref="F88:F89">
    <cfRule type="cellIs" dxfId="3185" priority="98" operator="equal">
      <formula>0</formula>
    </cfRule>
    <cfRule type="cellIs" dxfId="3184" priority="99" operator="notEqual">
      <formula>0</formula>
    </cfRule>
  </conditionalFormatting>
  <conditionalFormatting sqref="F87">
    <cfRule type="cellIs" dxfId="3183" priority="97" operator="equal">
      <formula>1</formula>
    </cfRule>
  </conditionalFormatting>
  <conditionalFormatting sqref="G88:G89">
    <cfRule type="cellIs" dxfId="3182" priority="95" operator="equal">
      <formula>0</formula>
    </cfRule>
    <cfRule type="cellIs" dxfId="3181" priority="96" operator="notEqual">
      <formula>0</formula>
    </cfRule>
  </conditionalFormatting>
  <conditionalFormatting sqref="H88:H89">
    <cfRule type="cellIs" dxfId="3180" priority="93" operator="equal">
      <formula>0</formula>
    </cfRule>
    <cfRule type="cellIs" dxfId="3179" priority="94" operator="notEqual">
      <formula>0</formula>
    </cfRule>
  </conditionalFormatting>
  <conditionalFormatting sqref="I88:I89">
    <cfRule type="cellIs" dxfId="3178" priority="91" operator="equal">
      <formula>0</formula>
    </cfRule>
    <cfRule type="cellIs" dxfId="3177" priority="92" operator="notEqual">
      <formula>0</formula>
    </cfRule>
  </conditionalFormatting>
  <conditionalFormatting sqref="J88:J89">
    <cfRule type="cellIs" dxfId="3176" priority="89" operator="equal">
      <formula>0</formula>
    </cfRule>
    <cfRule type="cellIs" dxfId="3175" priority="90" operator="notEqual">
      <formula>0</formula>
    </cfRule>
  </conditionalFormatting>
  <conditionalFormatting sqref="O87">
    <cfRule type="cellIs" dxfId="3174" priority="87" operator="equal">
      <formula>0</formula>
    </cfRule>
    <cfRule type="cellIs" dxfId="3173" priority="88" operator="notEqual">
      <formula>0</formula>
    </cfRule>
  </conditionalFormatting>
  <conditionalFormatting sqref="O90">
    <cfRule type="cellIs" dxfId="3172" priority="85" operator="equal">
      <formula>0</formula>
    </cfRule>
    <cfRule type="cellIs" dxfId="3171" priority="86" operator="notEqual">
      <formula>0</formula>
    </cfRule>
  </conditionalFormatting>
  <conditionalFormatting sqref="P87">
    <cfRule type="cellIs" dxfId="3170" priority="83" operator="equal">
      <formula>0</formula>
    </cfRule>
    <cfRule type="cellIs" dxfId="3169" priority="84" operator="notEqual">
      <formula>0</formula>
    </cfRule>
  </conditionalFormatting>
  <conditionalFormatting sqref="P90">
    <cfRule type="cellIs" dxfId="3168" priority="81" operator="equal">
      <formula>0</formula>
    </cfRule>
    <cfRule type="cellIs" dxfId="3167" priority="82" operator="notEqual">
      <formula>0</formula>
    </cfRule>
  </conditionalFormatting>
  <conditionalFormatting sqref="Q87">
    <cfRule type="cellIs" dxfId="3166" priority="79" operator="equal">
      <formula>0</formula>
    </cfRule>
    <cfRule type="cellIs" dxfId="3165" priority="80" operator="notEqual">
      <formula>0</formula>
    </cfRule>
  </conditionalFormatting>
  <conditionalFormatting sqref="Q90">
    <cfRule type="cellIs" dxfId="3164" priority="77" operator="equal">
      <formula>0</formula>
    </cfRule>
    <cfRule type="cellIs" dxfId="3163" priority="78" operator="notEqual">
      <formula>0</formula>
    </cfRule>
  </conditionalFormatting>
  <conditionalFormatting sqref="R87">
    <cfRule type="cellIs" dxfId="3162" priority="75" operator="equal">
      <formula>0</formula>
    </cfRule>
    <cfRule type="cellIs" dxfId="3161" priority="76" operator="notEqual">
      <formula>0</formula>
    </cfRule>
  </conditionalFormatting>
  <conditionalFormatting sqref="R90">
    <cfRule type="cellIs" dxfId="3160" priority="73" operator="equal">
      <formula>0</formula>
    </cfRule>
    <cfRule type="cellIs" dxfId="3159" priority="74" operator="notEqual">
      <formula>0</formula>
    </cfRule>
  </conditionalFormatting>
  <conditionalFormatting sqref="C95:C96">
    <cfRule type="cellIs" dxfId="3158" priority="71" operator="equal">
      <formula>0</formula>
    </cfRule>
    <cfRule type="cellIs" dxfId="3157" priority="72" operator="notEqual">
      <formula>0</formula>
    </cfRule>
  </conditionalFormatting>
  <conditionalFormatting sqref="C94">
    <cfRule type="cellIs" dxfId="3156" priority="70" operator="equal">
      <formula>1</formula>
    </cfRule>
  </conditionalFormatting>
  <conditionalFormatting sqref="D95:D96">
    <cfRule type="cellIs" dxfId="3155" priority="68" operator="equal">
      <formula>0</formula>
    </cfRule>
    <cfRule type="cellIs" dxfId="3154" priority="69" operator="notEqual">
      <formula>0</formula>
    </cfRule>
  </conditionalFormatting>
  <conditionalFormatting sqref="D94">
    <cfRule type="cellIs" dxfId="3153" priority="67" operator="equal">
      <formula>1</formula>
    </cfRule>
  </conditionalFormatting>
  <conditionalFormatting sqref="E95:E96">
    <cfRule type="cellIs" dxfId="3152" priority="65" operator="equal">
      <formula>0</formula>
    </cfRule>
    <cfRule type="cellIs" dxfId="3151" priority="66" operator="notEqual">
      <formula>0</formula>
    </cfRule>
  </conditionalFormatting>
  <conditionalFormatting sqref="E94">
    <cfRule type="cellIs" dxfId="3150" priority="64" operator="equal">
      <formula>1</formula>
    </cfRule>
  </conditionalFormatting>
  <conditionalFormatting sqref="F95:F96">
    <cfRule type="cellIs" dxfId="3149" priority="62" operator="equal">
      <formula>0</formula>
    </cfRule>
    <cfRule type="cellIs" dxfId="3148" priority="63" operator="notEqual">
      <formula>0</formula>
    </cfRule>
  </conditionalFormatting>
  <conditionalFormatting sqref="F94">
    <cfRule type="cellIs" dxfId="3147" priority="61" operator="equal">
      <formula>1</formula>
    </cfRule>
  </conditionalFormatting>
  <conditionalFormatting sqref="G95:G96">
    <cfRule type="cellIs" dxfId="3146" priority="59" operator="equal">
      <formula>0</formula>
    </cfRule>
    <cfRule type="cellIs" dxfId="3145" priority="60" operator="notEqual">
      <formula>0</formula>
    </cfRule>
  </conditionalFormatting>
  <conditionalFormatting sqref="H95:H96">
    <cfRule type="cellIs" dxfId="3144" priority="57" operator="equal">
      <formula>0</formula>
    </cfRule>
    <cfRule type="cellIs" dxfId="3143" priority="58" operator="notEqual">
      <formula>0</formula>
    </cfRule>
  </conditionalFormatting>
  <conditionalFormatting sqref="I95:I96">
    <cfRule type="cellIs" dxfId="3142" priority="55" operator="equal">
      <formula>0</formula>
    </cfRule>
    <cfRule type="cellIs" dxfId="3141" priority="56" operator="notEqual">
      <formula>0</formula>
    </cfRule>
  </conditionalFormatting>
  <conditionalFormatting sqref="J95:J96">
    <cfRule type="cellIs" dxfId="3140" priority="53" operator="equal">
      <formula>0</formula>
    </cfRule>
    <cfRule type="cellIs" dxfId="3139" priority="54" operator="notEqual">
      <formula>0</formula>
    </cfRule>
  </conditionalFormatting>
  <conditionalFormatting sqref="O94">
    <cfRule type="cellIs" dxfId="3138" priority="51" operator="equal">
      <formula>0</formula>
    </cfRule>
    <cfRule type="cellIs" dxfId="3137" priority="52" operator="notEqual">
      <formula>0</formula>
    </cfRule>
  </conditionalFormatting>
  <conditionalFormatting sqref="O97">
    <cfRule type="cellIs" dxfId="3136" priority="49" operator="equal">
      <formula>0</formula>
    </cfRule>
    <cfRule type="cellIs" dxfId="3135" priority="50" operator="notEqual">
      <formula>0</formula>
    </cfRule>
  </conditionalFormatting>
  <conditionalFormatting sqref="P94">
    <cfRule type="cellIs" dxfId="3134" priority="47" operator="equal">
      <formula>0</formula>
    </cfRule>
    <cfRule type="cellIs" dxfId="3133" priority="48" operator="notEqual">
      <formula>0</formula>
    </cfRule>
  </conditionalFormatting>
  <conditionalFormatting sqref="P97">
    <cfRule type="cellIs" dxfId="3132" priority="45" operator="equal">
      <formula>0</formula>
    </cfRule>
    <cfRule type="cellIs" dxfId="3131" priority="46" operator="notEqual">
      <formula>0</formula>
    </cfRule>
  </conditionalFormatting>
  <conditionalFormatting sqref="Q94">
    <cfRule type="cellIs" dxfId="3130" priority="43" operator="equal">
      <formula>0</formula>
    </cfRule>
    <cfRule type="cellIs" dxfId="3129" priority="44" operator="notEqual">
      <formula>0</formula>
    </cfRule>
  </conditionalFormatting>
  <conditionalFormatting sqref="Q97">
    <cfRule type="cellIs" dxfId="3128" priority="41" operator="equal">
      <formula>0</formula>
    </cfRule>
    <cfRule type="cellIs" dxfId="3127" priority="42" operator="notEqual">
      <formula>0</formula>
    </cfRule>
  </conditionalFormatting>
  <conditionalFormatting sqref="R94">
    <cfRule type="cellIs" dxfId="3126" priority="39" operator="equal">
      <formula>0</formula>
    </cfRule>
    <cfRule type="cellIs" dxfId="3125" priority="40" operator="notEqual">
      <formula>0</formula>
    </cfRule>
  </conditionalFormatting>
  <conditionalFormatting sqref="R97">
    <cfRule type="cellIs" dxfId="3124" priority="37" operator="equal">
      <formula>0</formula>
    </cfRule>
    <cfRule type="cellIs" dxfId="3123" priority="38" operator="notEqual">
      <formula>0</formula>
    </cfRule>
  </conditionalFormatting>
  <conditionalFormatting sqref="C102:C103">
    <cfRule type="cellIs" dxfId="3122" priority="35" operator="equal">
      <formula>0</formula>
    </cfRule>
    <cfRule type="cellIs" dxfId="3121" priority="36" operator="notEqual">
      <formula>0</formula>
    </cfRule>
  </conditionalFormatting>
  <conditionalFormatting sqref="C101">
    <cfRule type="cellIs" dxfId="3120" priority="34" operator="equal">
      <formula>1</formula>
    </cfRule>
  </conditionalFormatting>
  <conditionalFormatting sqref="D102:D103">
    <cfRule type="cellIs" dxfId="3119" priority="32" operator="equal">
      <formula>0</formula>
    </cfRule>
    <cfRule type="cellIs" dxfId="3118" priority="33" operator="notEqual">
      <formula>0</formula>
    </cfRule>
  </conditionalFormatting>
  <conditionalFormatting sqref="D101">
    <cfRule type="cellIs" dxfId="3117" priority="31" operator="equal">
      <formula>1</formula>
    </cfRule>
  </conditionalFormatting>
  <conditionalFormatting sqref="E102:E103">
    <cfRule type="cellIs" dxfId="3116" priority="29" operator="equal">
      <formula>0</formula>
    </cfRule>
    <cfRule type="cellIs" dxfId="3115" priority="30" operator="notEqual">
      <formula>0</formula>
    </cfRule>
  </conditionalFormatting>
  <conditionalFormatting sqref="E101">
    <cfRule type="cellIs" dxfId="3114" priority="28" operator="equal">
      <formula>1</formula>
    </cfRule>
  </conditionalFormatting>
  <conditionalFormatting sqref="F102:F103">
    <cfRule type="cellIs" dxfId="3113" priority="26" operator="equal">
      <formula>0</formula>
    </cfRule>
    <cfRule type="cellIs" dxfId="3112" priority="27" operator="notEqual">
      <formula>0</formula>
    </cfRule>
  </conditionalFormatting>
  <conditionalFormatting sqref="F101">
    <cfRule type="cellIs" dxfId="3111" priority="25" operator="equal">
      <formula>1</formula>
    </cfRule>
  </conditionalFormatting>
  <conditionalFormatting sqref="G102:G103">
    <cfRule type="cellIs" dxfId="3110" priority="23" operator="equal">
      <formula>0</formula>
    </cfRule>
    <cfRule type="cellIs" dxfId="3109" priority="24" operator="notEqual">
      <formula>0</formula>
    </cfRule>
  </conditionalFormatting>
  <conditionalFormatting sqref="H102:H103">
    <cfRule type="cellIs" dxfId="3108" priority="21" operator="equal">
      <formula>0</formula>
    </cfRule>
    <cfRule type="cellIs" dxfId="3107" priority="22" operator="notEqual">
      <formula>0</formula>
    </cfRule>
  </conditionalFormatting>
  <conditionalFormatting sqref="I102:I103">
    <cfRule type="cellIs" dxfId="3106" priority="19" operator="equal">
      <formula>0</formula>
    </cfRule>
    <cfRule type="cellIs" dxfId="3105" priority="20" operator="notEqual">
      <formula>0</formula>
    </cfRule>
  </conditionalFormatting>
  <conditionalFormatting sqref="J102:J103">
    <cfRule type="cellIs" dxfId="3104" priority="17" operator="equal">
      <formula>0</formula>
    </cfRule>
    <cfRule type="cellIs" dxfId="3103" priority="18" operator="notEqual">
      <formula>0</formula>
    </cfRule>
  </conditionalFormatting>
  <conditionalFormatting sqref="O101">
    <cfRule type="cellIs" dxfId="3102" priority="15" operator="equal">
      <formula>0</formula>
    </cfRule>
    <cfRule type="cellIs" dxfId="3101" priority="16" operator="notEqual">
      <formula>0</formula>
    </cfRule>
  </conditionalFormatting>
  <conditionalFormatting sqref="O104">
    <cfRule type="cellIs" dxfId="3100" priority="13" operator="equal">
      <formula>0</formula>
    </cfRule>
    <cfRule type="cellIs" dxfId="3099" priority="14" operator="notEqual">
      <formula>0</formula>
    </cfRule>
  </conditionalFormatting>
  <conditionalFormatting sqref="P101">
    <cfRule type="cellIs" dxfId="3098" priority="11" operator="equal">
      <formula>0</formula>
    </cfRule>
    <cfRule type="cellIs" dxfId="3097" priority="12" operator="notEqual">
      <formula>0</formula>
    </cfRule>
  </conditionalFormatting>
  <conditionalFormatting sqref="P104">
    <cfRule type="cellIs" dxfId="3096" priority="9" operator="equal">
      <formula>0</formula>
    </cfRule>
    <cfRule type="cellIs" dxfId="3095" priority="10" operator="notEqual">
      <formula>0</formula>
    </cfRule>
  </conditionalFormatting>
  <conditionalFormatting sqref="Q101">
    <cfRule type="cellIs" dxfId="3094" priority="7" operator="equal">
      <formula>0</formula>
    </cfRule>
    <cfRule type="cellIs" dxfId="3093" priority="8" operator="notEqual">
      <formula>0</formula>
    </cfRule>
  </conditionalFormatting>
  <conditionalFormatting sqref="Q104">
    <cfRule type="cellIs" dxfId="3092" priority="5" operator="equal">
      <formula>0</formula>
    </cfRule>
    <cfRule type="cellIs" dxfId="3091" priority="6" operator="notEqual">
      <formula>0</formula>
    </cfRule>
  </conditionalFormatting>
  <conditionalFormatting sqref="R101">
    <cfRule type="cellIs" dxfId="3090" priority="3" operator="equal">
      <formula>0</formula>
    </cfRule>
    <cfRule type="cellIs" dxfId="3089" priority="4" operator="notEqual">
      <formula>0</formula>
    </cfRule>
  </conditionalFormatting>
  <conditionalFormatting sqref="R104">
    <cfRule type="cellIs" dxfId="3088" priority="1" operator="equal">
      <formula>0</formula>
    </cfRule>
    <cfRule type="cellIs" dxfId="3087"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defaultColWidth="8.85546875" defaultRowHeight="15" x14ac:dyDescent="0.25"/>
  <cols>
    <col min="1" max="1" width="36.42578125" style="8" hidden="1" customWidth="1"/>
    <col min="2" max="2" width="58" customWidth="1"/>
    <col min="3" max="3" width="15" style="6" bestFit="1" customWidth="1"/>
    <col min="4" max="4" width="13.42578125" style="6" customWidth="1"/>
    <col min="5" max="5" width="15.85546875" style="6" customWidth="1"/>
    <col min="6" max="6" width="10.85546875" style="6" bestFit="1" customWidth="1"/>
    <col min="7" max="7" width="12.42578125" style="6" customWidth="1"/>
    <col min="8" max="8" width="14.85546875" style="6" bestFit="1" customWidth="1"/>
    <col min="9" max="9" width="13" style="6" customWidth="1"/>
    <col min="10" max="10" width="15.140625" style="6" customWidth="1"/>
    <col min="11" max="11" width="13.42578125" style="6" customWidth="1"/>
    <col min="12" max="12" width="10.42578125" style="6" bestFit="1" customWidth="1"/>
    <col min="13" max="13" width="12" style="6" customWidth="1"/>
    <col min="14" max="15" width="13.42578125" style="6" customWidth="1"/>
    <col min="16" max="16" width="10.42578125" style="6" bestFit="1" customWidth="1"/>
    <col min="17" max="17" width="9.42578125" style="6" bestFit="1" customWidth="1"/>
    <col min="18" max="18" width="12.42578125" style="6" customWidth="1"/>
    <col min="19" max="19" width="14.85546875" style="6" bestFit="1" customWidth="1"/>
    <col min="20" max="20" width="15.140625" style="6" customWidth="1"/>
    <col min="21" max="21" width="15.42578125" style="6" customWidth="1"/>
    <col min="22" max="22" width="16" style="6" customWidth="1"/>
    <col min="23" max="23" width="12.42578125" bestFit="1" customWidth="1"/>
  </cols>
  <sheetData>
    <row r="1" spans="1:26" ht="67.5" customHeight="1" x14ac:dyDescent="0.25">
      <c r="A1"/>
      <c r="B1" s="536" t="s">
        <v>1127</v>
      </c>
      <c r="C1" s="485"/>
      <c r="D1" s="485"/>
      <c r="E1" s="485"/>
      <c r="F1" s="485"/>
      <c r="G1" s="485"/>
      <c r="H1" s="485"/>
      <c r="I1" s="485"/>
      <c r="J1" s="485"/>
      <c r="K1" s="485"/>
      <c r="L1" s="257"/>
      <c r="M1" s="257"/>
      <c r="N1" s="257"/>
      <c r="O1" s="257"/>
      <c r="P1" s="257"/>
      <c r="Q1" s="257"/>
      <c r="R1" s="257"/>
      <c r="S1" s="257"/>
      <c r="T1" s="257"/>
      <c r="U1" s="257"/>
      <c r="V1" s="257"/>
      <c r="W1" s="257"/>
      <c r="X1" s="257"/>
      <c r="Y1" s="257"/>
      <c r="Z1" s="257"/>
    </row>
    <row r="2" spans="1:26" ht="42" customHeight="1" x14ac:dyDescent="0.25">
      <c r="A2"/>
      <c r="B2" s="537"/>
      <c r="C2" s="430"/>
      <c r="D2" s="430"/>
      <c r="E2" s="430"/>
      <c r="F2" s="430"/>
      <c r="G2" s="430"/>
      <c r="H2" s="430"/>
      <c r="I2" s="430"/>
      <c r="J2" s="430"/>
      <c r="K2" s="430"/>
      <c r="L2" s="258"/>
      <c r="M2" s="258"/>
      <c r="N2" s="258"/>
      <c r="O2" s="258"/>
      <c r="P2" s="258"/>
      <c r="Q2" s="258"/>
      <c r="R2" s="258"/>
      <c r="S2" s="258"/>
      <c r="T2" s="258"/>
      <c r="U2" s="258"/>
      <c r="V2" s="258"/>
      <c r="W2" s="258"/>
      <c r="X2" s="258"/>
      <c r="Y2" s="258"/>
      <c r="Z2" s="258"/>
    </row>
    <row r="3" spans="1:26" ht="58.5" customHeight="1" x14ac:dyDescent="0.25">
      <c r="A3"/>
      <c r="B3" s="189" t="s">
        <v>957</v>
      </c>
    </row>
    <row r="4" spans="1:26" ht="33" customHeight="1" x14ac:dyDescent="0.25">
      <c r="A4" s="10"/>
      <c r="B4" s="242" t="s">
        <v>17</v>
      </c>
      <c r="C4" s="2"/>
      <c r="D4" s="2"/>
      <c r="E4" s="2"/>
      <c r="F4" s="2"/>
      <c r="G4" s="2"/>
      <c r="H4" s="2"/>
      <c r="I4" s="2"/>
      <c r="J4" s="2"/>
      <c r="K4" s="2"/>
      <c r="L4" s="2"/>
      <c r="M4" s="2"/>
      <c r="N4" s="2"/>
      <c r="O4" s="2"/>
      <c r="P4" s="2"/>
      <c r="Q4" s="2"/>
      <c r="R4" s="2"/>
      <c r="S4" s="2"/>
      <c r="T4" s="2"/>
      <c r="U4" s="2"/>
      <c r="V4" s="2"/>
      <c r="W4" s="1"/>
    </row>
    <row r="5" spans="1:26" ht="15.75" x14ac:dyDescent="0.25">
      <c r="A5" s="10"/>
      <c r="B5" s="1"/>
      <c r="C5" s="2"/>
      <c r="D5" s="2"/>
      <c r="E5" s="2"/>
      <c r="F5" s="2"/>
      <c r="G5" s="2"/>
      <c r="H5" s="2"/>
      <c r="I5" s="2"/>
      <c r="J5" s="2"/>
      <c r="K5" s="2"/>
      <c r="L5" s="2"/>
      <c r="M5" s="2"/>
      <c r="N5" s="2"/>
      <c r="O5" s="2"/>
      <c r="P5" s="2"/>
      <c r="Q5" s="2"/>
      <c r="R5" s="2"/>
      <c r="S5" s="2"/>
      <c r="T5" s="2"/>
      <c r="U5" s="2"/>
      <c r="V5" s="2"/>
      <c r="W5" s="1"/>
    </row>
    <row r="6" spans="1:26" ht="105" customHeight="1" x14ac:dyDescent="0.25">
      <c r="A6" s="14"/>
      <c r="B6" s="219" t="s">
        <v>1128</v>
      </c>
      <c r="C6" s="219" t="s">
        <v>1129</v>
      </c>
      <c r="D6" s="219" t="s">
        <v>1130</v>
      </c>
      <c r="E6" s="219" t="s">
        <v>1131</v>
      </c>
      <c r="F6" s="153"/>
      <c r="G6" s="219" t="s">
        <v>963</v>
      </c>
      <c r="H6" s="219" t="s">
        <v>964</v>
      </c>
      <c r="I6" s="153"/>
      <c r="J6" s="219" t="s">
        <v>965</v>
      </c>
      <c r="K6" s="219" t="s">
        <v>966</v>
      </c>
    </row>
    <row r="7" spans="1:26" x14ac:dyDescent="0.25">
      <c r="A7" s="11"/>
      <c r="B7" s="154" t="s">
        <v>1042</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5.75" x14ac:dyDescent="0.25">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5.75" x14ac:dyDescent="0.25">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5.75" x14ac:dyDescent="0.25">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5.75" x14ac:dyDescent="0.25">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5.75" x14ac:dyDescent="0.25">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5.75" x14ac:dyDescent="0.25">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5.75" x14ac:dyDescent="0.25">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5.75" x14ac:dyDescent="0.25">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5.75" x14ac:dyDescent="0.25">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5.75" x14ac:dyDescent="0.25">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5.75" x14ac:dyDescent="0.25">
      <c r="A18" s="12" t="s">
        <v>1132</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5.75" x14ac:dyDescent="0.25">
      <c r="A19" s="12" t="s">
        <v>1133</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5.75" x14ac:dyDescent="0.25">
      <c r="A20" s="12" t="s">
        <v>1134</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5.75" x14ac:dyDescent="0.25">
      <c r="A21" s="12" t="s">
        <v>1135</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5.75" x14ac:dyDescent="0.25">
      <c r="A22" s="12" t="s">
        <v>1136</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5.95" customHeight="1" x14ac:dyDescent="0.25">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5.75" x14ac:dyDescent="0.25">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5.75" x14ac:dyDescent="0.25">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5.75" x14ac:dyDescent="0.25">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5.75" x14ac:dyDescent="0.25">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5.75" x14ac:dyDescent="0.25">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5.75" x14ac:dyDescent="0.25">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5.75" x14ac:dyDescent="0.25">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5.75" x14ac:dyDescent="0.25">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5.75" x14ac:dyDescent="0.25">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5.75" x14ac:dyDescent="0.25">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5.75" x14ac:dyDescent="0.25">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5">
      <c r="A35" s="10"/>
      <c r="B35" s="1"/>
      <c r="C35" s="2"/>
      <c r="D35" s="2"/>
      <c r="E35" s="2"/>
      <c r="F35" s="2"/>
      <c r="G35" s="2"/>
      <c r="H35" s="2"/>
      <c r="I35" s="2"/>
      <c r="J35" s="2"/>
      <c r="K35" s="2"/>
      <c r="L35" s="2"/>
      <c r="M35" s="2"/>
      <c r="N35" s="2"/>
      <c r="O35" s="2"/>
      <c r="P35" s="2"/>
      <c r="Q35" s="2"/>
      <c r="R35" s="2"/>
      <c r="S35" s="2"/>
      <c r="T35" s="2"/>
      <c r="U35" s="2"/>
      <c r="V35" s="2"/>
      <c r="W35" s="1"/>
    </row>
    <row r="36" spans="1:23" ht="76.5" x14ac:dyDescent="0.25">
      <c r="A36" s="10"/>
      <c r="B36" s="219" t="s">
        <v>1128</v>
      </c>
      <c r="C36" s="157" t="s">
        <v>1137</v>
      </c>
      <c r="D36" s="157" t="s">
        <v>1138</v>
      </c>
      <c r="E36" s="157" t="s">
        <v>1139</v>
      </c>
      <c r="F36" s="157" t="s">
        <v>1140</v>
      </c>
      <c r="G36" s="157" t="s">
        <v>1141</v>
      </c>
      <c r="H36" s="157" t="s">
        <v>1142</v>
      </c>
      <c r="I36" s="157" t="s">
        <v>1143</v>
      </c>
      <c r="J36" s="158" t="s">
        <v>1144</v>
      </c>
      <c r="K36" s="157" t="s">
        <v>1145</v>
      </c>
      <c r="L36" s="157" t="s">
        <v>1146</v>
      </c>
      <c r="M36" s="157" t="s">
        <v>1147</v>
      </c>
      <c r="N36" s="2"/>
      <c r="O36" s="2"/>
      <c r="P36" s="2"/>
      <c r="Q36" s="2"/>
      <c r="R36" s="2"/>
      <c r="S36" s="2"/>
      <c r="T36" s="2"/>
      <c r="U36" s="2"/>
      <c r="V36" s="2"/>
      <c r="W36" s="1"/>
    </row>
    <row r="37" spans="1:23" ht="15.75" x14ac:dyDescent="0.25">
      <c r="A37" s="10"/>
      <c r="B37" s="154" t="s">
        <v>1042</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5.75" x14ac:dyDescent="0.25">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5.75" x14ac:dyDescent="0.25">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5.75" x14ac:dyDescent="0.25">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5.75" x14ac:dyDescent="0.25">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5.75" x14ac:dyDescent="0.25">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5.75" x14ac:dyDescent="0.25">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5.75" x14ac:dyDescent="0.25">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5.75" x14ac:dyDescent="0.25">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5.75" x14ac:dyDescent="0.25">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5.75" x14ac:dyDescent="0.25">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5.75" x14ac:dyDescent="0.25">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5.75" x14ac:dyDescent="0.25">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5.75" x14ac:dyDescent="0.25">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5.75" x14ac:dyDescent="0.25">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5.75" x14ac:dyDescent="0.25">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5.75" x14ac:dyDescent="0.25">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5.75" x14ac:dyDescent="0.25">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5.75" x14ac:dyDescent="0.25">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5.75" x14ac:dyDescent="0.25">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5.75" x14ac:dyDescent="0.25">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5.75" x14ac:dyDescent="0.25">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5.75" x14ac:dyDescent="0.25">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5.75" x14ac:dyDescent="0.25">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5.75" x14ac:dyDescent="0.25">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5.75" x14ac:dyDescent="0.25">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5.75" x14ac:dyDescent="0.25">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5.75" x14ac:dyDescent="0.25">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5">
      <c r="A65" s="10"/>
      <c r="B65" s="1"/>
      <c r="C65" s="534"/>
      <c r="D65" s="535"/>
      <c r="E65" s="535"/>
      <c r="F65" s="535"/>
      <c r="G65" s="535"/>
      <c r="H65" s="535"/>
      <c r="I65" s="535"/>
      <c r="J65" s="535"/>
      <c r="K65" s="535"/>
      <c r="L65" s="2"/>
      <c r="M65" s="2"/>
      <c r="N65" s="2"/>
      <c r="O65" s="2"/>
      <c r="P65" s="2"/>
      <c r="Q65" s="2"/>
      <c r="R65" s="2"/>
      <c r="S65" s="2"/>
      <c r="T65" s="2"/>
      <c r="U65" s="2"/>
      <c r="V65" s="2"/>
      <c r="W65" s="1"/>
    </row>
    <row r="66" spans="1:23" ht="72.75" customHeight="1" x14ac:dyDescent="0.25">
      <c r="A66" s="10"/>
      <c r="B66" s="219" t="s">
        <v>1128</v>
      </c>
      <c r="C66" s="219" t="s">
        <v>991</v>
      </c>
      <c r="D66" s="219" t="s">
        <v>992</v>
      </c>
      <c r="E66" s="219" t="s">
        <v>993</v>
      </c>
      <c r="F66" s="219" t="s">
        <v>994</v>
      </c>
      <c r="G66" s="219" t="s">
        <v>995</v>
      </c>
      <c r="H66" s="219" t="s">
        <v>996</v>
      </c>
      <c r="I66" s="219" t="s">
        <v>997</v>
      </c>
      <c r="J66" s="219" t="s">
        <v>998</v>
      </c>
      <c r="K66" s="219" t="s">
        <v>999</v>
      </c>
      <c r="O66" s="2"/>
      <c r="P66" s="2"/>
      <c r="Q66" s="2"/>
      <c r="R66" s="2"/>
      <c r="S66" s="2"/>
      <c r="T66" s="2"/>
      <c r="U66" s="2"/>
      <c r="V66" s="2"/>
      <c r="W66" s="1"/>
    </row>
    <row r="67" spans="1:23" ht="15.75" x14ac:dyDescent="0.25">
      <c r="A67" s="10"/>
      <c r="B67" s="154" t="s">
        <v>1075</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5.75" x14ac:dyDescent="0.25">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5.75" x14ac:dyDescent="0.25">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2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2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2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2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2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2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2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2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2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2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2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2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2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2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2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2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2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2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2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2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2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2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2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2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2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25"/>
    <row r="96" spans="2:11" ht="51" x14ac:dyDescent="0.25">
      <c r="B96" s="219" t="s">
        <v>1128</v>
      </c>
      <c r="C96" s="219" t="s">
        <v>1148</v>
      </c>
      <c r="D96" s="219" t="s">
        <v>1149</v>
      </c>
      <c r="E96" s="219" t="s">
        <v>1150</v>
      </c>
      <c r="F96" s="219" t="s">
        <v>1151</v>
      </c>
      <c r="G96" s="219" t="s">
        <v>1152</v>
      </c>
      <c r="H96" s="219" t="s">
        <v>1153</v>
      </c>
      <c r="I96" s="219" t="s">
        <v>1154</v>
      </c>
    </row>
    <row r="97" spans="2:9" x14ac:dyDescent="0.25">
      <c r="B97" s="154" t="s">
        <v>1075</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2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2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2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2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2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2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2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2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2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2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2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2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2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2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2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2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2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2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2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2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2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2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2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2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2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2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2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6" priority="4" operator="greaterThan">
      <formula>1.1</formula>
    </cfRule>
  </conditionalFormatting>
  <conditionalFormatting sqref="C8:C34">
    <cfRule type="cellIs" dxfId="3085" priority="3" operator="greaterThan">
      <formula>1.1</formula>
    </cfRule>
  </conditionalFormatting>
  <conditionalFormatting sqref="E8:E34">
    <cfRule type="cellIs" dxfId="3084" priority="2" operator="greaterThan">
      <formula>1.1</formula>
    </cfRule>
  </conditionalFormatting>
  <conditionalFormatting sqref="C8:E34">
    <cfRule type="cellIs" dxfId="3083"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sqref="A1:AJ1"/>
    </sheetView>
  </sheetViews>
  <sheetFormatPr defaultColWidth="9.140625" defaultRowHeight="15" x14ac:dyDescent="0.25"/>
  <cols>
    <col min="1" max="1" width="1.42578125" customWidth="1"/>
    <col min="2" max="2" width="36.140625" customWidth="1"/>
    <col min="20" max="20" width="33" customWidth="1"/>
  </cols>
  <sheetData>
    <row r="1" spans="1:50" ht="66" customHeight="1" x14ac:dyDescent="0.25">
      <c r="A1" s="536" t="s">
        <v>1155</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57"/>
      <c r="AL1" s="257"/>
      <c r="AM1" s="257"/>
      <c r="AN1" s="257"/>
      <c r="AO1" s="261"/>
      <c r="AP1" s="257"/>
      <c r="AQ1" s="257"/>
      <c r="AR1" s="257"/>
      <c r="AS1" s="257"/>
      <c r="AT1" s="257"/>
      <c r="AU1" s="257"/>
      <c r="AV1" s="257"/>
      <c r="AW1" s="257"/>
      <c r="AX1" s="257"/>
    </row>
    <row r="2" spans="1:50" ht="53.25" customHeight="1" x14ac:dyDescent="0.25">
      <c r="A2" s="253"/>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2"/>
      <c r="AL2" s="262"/>
      <c r="AM2" s="262"/>
      <c r="AN2" s="262"/>
      <c r="AO2" s="262"/>
      <c r="AP2" s="262"/>
      <c r="AQ2" s="262"/>
      <c r="AR2" s="262"/>
      <c r="AS2" s="262"/>
      <c r="AT2" s="262"/>
      <c r="AU2" s="262"/>
      <c r="AV2" s="262"/>
      <c r="AW2" s="262"/>
      <c r="AX2" s="262"/>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25">
      <c r="B4" s="36" t="s">
        <v>957</v>
      </c>
    </row>
    <row r="5" spans="1:50" ht="24" customHeight="1" x14ac:dyDescent="0.25">
      <c r="B5" s="242" t="s">
        <v>17</v>
      </c>
      <c r="P5" s="40"/>
      <c r="Q5" s="40"/>
    </row>
    <row r="6" spans="1:50" x14ac:dyDescent="0.25">
      <c r="B6" s="46"/>
    </row>
    <row r="8" spans="1:50" ht="28.5" customHeight="1" x14ac:dyDescent="0.25">
      <c r="B8" s="142" t="str">
        <f>HLOOKUP($B$5,Region_Table,2,0)</f>
        <v>All East Midlands Region</v>
      </c>
      <c r="C8" s="528" t="s">
        <v>1156</v>
      </c>
      <c r="D8" s="529"/>
      <c r="E8" s="529"/>
      <c r="F8" s="529"/>
      <c r="G8" s="529"/>
      <c r="H8" s="529"/>
      <c r="I8" s="529"/>
      <c r="J8" s="529"/>
      <c r="K8" s="529"/>
      <c r="L8" s="529"/>
      <c r="M8" s="538"/>
      <c r="N8" s="538"/>
      <c r="O8" s="539"/>
      <c r="P8" s="515">
        <f>SUMIFS('caseload data'!V:V,'caseload data'!B:B,"custody",'caseload data'!C:C,'custody caseload'!B8)</f>
        <v>0</v>
      </c>
      <c r="Q8" s="532"/>
      <c r="R8" s="533"/>
      <c r="S8" s="64"/>
      <c r="T8" s="142" t="str">
        <f>HLOOKUP($B$5,Region_Table,3,0)</f>
        <v>Derby City - N53</v>
      </c>
      <c r="U8" s="528" t="s">
        <v>1156</v>
      </c>
      <c r="V8" s="529"/>
      <c r="W8" s="529"/>
      <c r="X8" s="529"/>
      <c r="Y8" s="529"/>
      <c r="Z8" s="529"/>
      <c r="AA8" s="529"/>
      <c r="AB8" s="529"/>
      <c r="AC8" s="529"/>
      <c r="AD8" s="529"/>
      <c r="AE8" s="538"/>
      <c r="AF8" s="538"/>
      <c r="AG8" s="539"/>
      <c r="AH8" s="515">
        <f>SUMIFS('caseload data'!V:V,'caseload data'!B:B,"custody",'caseload data'!C:C,'custody caseload'!T8)</f>
        <v>0</v>
      </c>
      <c r="AI8" s="532"/>
      <c r="AJ8" s="533"/>
    </row>
    <row r="9" spans="1:50" x14ac:dyDescent="0.25">
      <c r="B9" s="95" t="s">
        <v>1023</v>
      </c>
      <c r="C9" s="38" t="s">
        <v>879</v>
      </c>
      <c r="D9" s="38" t="s">
        <v>880</v>
      </c>
      <c r="E9" s="38" t="s">
        <v>881</v>
      </c>
      <c r="F9" s="38" t="s">
        <v>882</v>
      </c>
      <c r="G9" s="38" t="s">
        <v>883</v>
      </c>
      <c r="H9" s="38" t="s">
        <v>884</v>
      </c>
      <c r="I9" s="38" t="s">
        <v>885</v>
      </c>
      <c r="J9" s="38" t="s">
        <v>886</v>
      </c>
      <c r="K9" s="38" t="s">
        <v>887</v>
      </c>
      <c r="L9" s="38" t="s">
        <v>888</v>
      </c>
      <c r="M9" s="38" t="s">
        <v>889</v>
      </c>
      <c r="N9" s="38" t="s">
        <v>890</v>
      </c>
      <c r="O9" s="38" t="s">
        <v>891</v>
      </c>
      <c r="P9" s="38" t="s">
        <v>892</v>
      </c>
      <c r="Q9" s="38" t="s">
        <v>893</v>
      </c>
      <c r="R9" s="38" t="s">
        <v>894</v>
      </c>
      <c r="S9" s="64"/>
      <c r="T9" s="95" t="s">
        <v>1023</v>
      </c>
      <c r="U9" s="38" t="s">
        <v>879</v>
      </c>
      <c r="V9" s="38" t="s">
        <v>880</v>
      </c>
      <c r="W9" s="38" t="s">
        <v>881</v>
      </c>
      <c r="X9" s="38" t="s">
        <v>882</v>
      </c>
      <c r="Y9" s="38" t="s">
        <v>883</v>
      </c>
      <c r="Z9" s="38" t="s">
        <v>884</v>
      </c>
      <c r="AA9" s="38" t="s">
        <v>885</v>
      </c>
      <c r="AB9" s="38" t="s">
        <v>886</v>
      </c>
      <c r="AC9" s="38" t="s">
        <v>887</v>
      </c>
      <c r="AD9" s="38" t="s">
        <v>888</v>
      </c>
      <c r="AE9" s="38" t="s">
        <v>889</v>
      </c>
      <c r="AF9" s="38" t="s">
        <v>890</v>
      </c>
      <c r="AG9" s="38" t="s">
        <v>891</v>
      </c>
      <c r="AH9" s="38" t="s">
        <v>892</v>
      </c>
      <c r="AI9" s="38" t="s">
        <v>893</v>
      </c>
      <c r="AJ9" s="38" t="s">
        <v>894</v>
      </c>
    </row>
    <row r="10" spans="1:50" x14ac:dyDescent="0.25">
      <c r="B10" s="96" t="s">
        <v>1019</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1019</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x14ac:dyDescent="0.25">
      <c r="B11" s="97" t="s">
        <v>1024</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1024</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x14ac:dyDescent="0.25">
      <c r="B12" s="97" t="s">
        <v>1025</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1025</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25">
      <c r="B13" s="98" t="s">
        <v>1026</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1026</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25">
      <c r="B15" s="142" t="str">
        <f>HLOOKUP($B$5,Region_Table,4,0)</f>
        <v>Derbyshire - N53</v>
      </c>
      <c r="C15" s="528" t="s">
        <v>1156</v>
      </c>
      <c r="D15" s="529"/>
      <c r="E15" s="529"/>
      <c r="F15" s="529"/>
      <c r="G15" s="529"/>
      <c r="H15" s="529"/>
      <c r="I15" s="529"/>
      <c r="J15" s="529"/>
      <c r="K15" s="529"/>
      <c r="L15" s="529"/>
      <c r="M15" s="538"/>
      <c r="N15" s="538"/>
      <c r="O15" s="539"/>
      <c r="P15" s="515">
        <f>SUMIFS('caseload data'!V:V,'caseload data'!B:B,"custody",'caseload data'!$C:$C,'custody caseload'!B15)</f>
        <v>0</v>
      </c>
      <c r="Q15" s="532"/>
      <c r="R15" s="533"/>
      <c r="S15" s="64"/>
      <c r="T15" s="142" t="str">
        <f>HLOOKUP($B$5,Region_Table,5,0)</f>
        <v>Leicester, Leicestershire and Rutland</v>
      </c>
      <c r="U15" s="528" t="s">
        <v>1156</v>
      </c>
      <c r="V15" s="529"/>
      <c r="W15" s="529"/>
      <c r="X15" s="529"/>
      <c r="Y15" s="529"/>
      <c r="Z15" s="529"/>
      <c r="AA15" s="529"/>
      <c r="AB15" s="529"/>
      <c r="AC15" s="529"/>
      <c r="AD15" s="529"/>
      <c r="AE15" s="538"/>
      <c r="AF15" s="538"/>
      <c r="AG15" s="539"/>
      <c r="AH15" s="515">
        <f>SUMIFS('caseload data'!V:V,'caseload data'!B:B,"custody",'caseload data'!$C:$C,'custody caseload'!T15)</f>
        <v>0</v>
      </c>
      <c r="AI15" s="532"/>
      <c r="AJ15" s="533"/>
    </row>
    <row r="16" spans="1:50" x14ac:dyDescent="0.25">
      <c r="B16" s="95" t="s">
        <v>1023</v>
      </c>
      <c r="C16" s="38" t="s">
        <v>879</v>
      </c>
      <c r="D16" s="38" t="s">
        <v>880</v>
      </c>
      <c r="E16" s="38" t="s">
        <v>881</v>
      </c>
      <c r="F16" s="38" t="s">
        <v>882</v>
      </c>
      <c r="G16" s="38" t="s">
        <v>883</v>
      </c>
      <c r="H16" s="38" t="s">
        <v>884</v>
      </c>
      <c r="I16" s="38" t="s">
        <v>885</v>
      </c>
      <c r="J16" s="38" t="s">
        <v>886</v>
      </c>
      <c r="K16" s="38" t="s">
        <v>887</v>
      </c>
      <c r="L16" s="38" t="s">
        <v>888</v>
      </c>
      <c r="M16" s="38" t="s">
        <v>889</v>
      </c>
      <c r="N16" s="38" t="s">
        <v>890</v>
      </c>
      <c r="O16" s="38" t="s">
        <v>891</v>
      </c>
      <c r="P16" s="38" t="s">
        <v>892</v>
      </c>
      <c r="Q16" s="38" t="s">
        <v>893</v>
      </c>
      <c r="R16" s="38" t="s">
        <v>894</v>
      </c>
      <c r="S16" s="64"/>
      <c r="T16" s="95" t="s">
        <v>1023</v>
      </c>
      <c r="U16" s="38" t="s">
        <v>879</v>
      </c>
      <c r="V16" s="38" t="s">
        <v>880</v>
      </c>
      <c r="W16" s="38" t="s">
        <v>881</v>
      </c>
      <c r="X16" s="38" t="s">
        <v>882</v>
      </c>
      <c r="Y16" s="38" t="s">
        <v>883</v>
      </c>
      <c r="Z16" s="38" t="s">
        <v>884</v>
      </c>
      <c r="AA16" s="38" t="s">
        <v>885</v>
      </c>
      <c r="AB16" s="38" t="s">
        <v>886</v>
      </c>
      <c r="AC16" s="38" t="s">
        <v>887</v>
      </c>
      <c r="AD16" s="38" t="s">
        <v>888</v>
      </c>
      <c r="AE16" s="38" t="s">
        <v>889</v>
      </c>
      <c r="AF16" s="38" t="s">
        <v>890</v>
      </c>
      <c r="AG16" s="38" t="s">
        <v>891</v>
      </c>
      <c r="AH16" s="38" t="s">
        <v>892</v>
      </c>
      <c r="AI16" s="38" t="s">
        <v>893</v>
      </c>
      <c r="AJ16" s="38" t="s">
        <v>894</v>
      </c>
    </row>
    <row r="17" spans="2:36" x14ac:dyDescent="0.25">
      <c r="B17" s="96" t="s">
        <v>1019</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1019</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x14ac:dyDescent="0.25">
      <c r="B18" s="97" t="s">
        <v>1024</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1024</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x14ac:dyDescent="0.25">
      <c r="B19" s="97" t="s">
        <v>1025</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1025</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25">
      <c r="B20" s="98" t="s">
        <v>1026</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1026</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25">
      <c r="B22" s="142" t="str">
        <f>HLOOKUP($B$5,Region_Table,6,0)</f>
        <v>Lincolnshire East and West - N53</v>
      </c>
      <c r="C22" s="528" t="s">
        <v>1156</v>
      </c>
      <c r="D22" s="529"/>
      <c r="E22" s="529"/>
      <c r="F22" s="529"/>
      <c r="G22" s="529"/>
      <c r="H22" s="529"/>
      <c r="I22" s="529"/>
      <c r="J22" s="529"/>
      <c r="K22" s="529"/>
      <c r="L22" s="529"/>
      <c r="M22" s="538"/>
      <c r="N22" s="538"/>
      <c r="O22" s="539"/>
      <c r="P22" s="515">
        <f>SUMIFS('caseload data'!V:V,'caseload data'!B:B,"custody",'caseload data'!$C:$C,'custody caseload'!B22)</f>
        <v>0</v>
      </c>
      <c r="Q22" s="532"/>
      <c r="R22" s="533"/>
      <c r="S22" s="64"/>
      <c r="T22" s="142" t="str">
        <f>HLOOKUP($B$5,Region_Table,7,0)</f>
        <v>Nottingham City</v>
      </c>
      <c r="U22" s="528" t="s">
        <v>1156</v>
      </c>
      <c r="V22" s="529"/>
      <c r="W22" s="529"/>
      <c r="X22" s="529"/>
      <c r="Y22" s="529"/>
      <c r="Z22" s="529"/>
      <c r="AA22" s="529"/>
      <c r="AB22" s="529"/>
      <c r="AC22" s="529"/>
      <c r="AD22" s="529"/>
      <c r="AE22" s="538"/>
      <c r="AF22" s="538"/>
      <c r="AG22" s="539"/>
      <c r="AH22" s="515">
        <f>SUMIFS('caseload data'!V:V,'caseload data'!B:B,"custody",'caseload data'!$C:$C,'custody caseload'!T22)</f>
        <v>0</v>
      </c>
      <c r="AI22" s="532"/>
      <c r="AJ22" s="533"/>
    </row>
    <row r="23" spans="2:36" x14ac:dyDescent="0.25">
      <c r="B23" s="95" t="s">
        <v>1023</v>
      </c>
      <c r="C23" s="38" t="s">
        <v>879</v>
      </c>
      <c r="D23" s="38" t="s">
        <v>880</v>
      </c>
      <c r="E23" s="38" t="s">
        <v>881</v>
      </c>
      <c r="F23" s="38" t="s">
        <v>882</v>
      </c>
      <c r="G23" s="38" t="s">
        <v>883</v>
      </c>
      <c r="H23" s="38" t="s">
        <v>884</v>
      </c>
      <c r="I23" s="38" t="s">
        <v>885</v>
      </c>
      <c r="J23" s="38" t="s">
        <v>886</v>
      </c>
      <c r="K23" s="38" t="s">
        <v>887</v>
      </c>
      <c r="L23" s="38" t="s">
        <v>888</v>
      </c>
      <c r="M23" s="38" t="s">
        <v>889</v>
      </c>
      <c r="N23" s="38" t="s">
        <v>890</v>
      </c>
      <c r="O23" s="38" t="s">
        <v>891</v>
      </c>
      <c r="P23" s="38" t="s">
        <v>892</v>
      </c>
      <c r="Q23" s="38" t="s">
        <v>893</v>
      </c>
      <c r="R23" s="38" t="s">
        <v>894</v>
      </c>
      <c r="S23" s="64"/>
      <c r="T23" s="95" t="s">
        <v>1023</v>
      </c>
      <c r="U23" s="38" t="s">
        <v>879</v>
      </c>
      <c r="V23" s="38" t="s">
        <v>880</v>
      </c>
      <c r="W23" s="38" t="s">
        <v>881</v>
      </c>
      <c r="X23" s="38" t="s">
        <v>882</v>
      </c>
      <c r="Y23" s="38" t="s">
        <v>883</v>
      </c>
      <c r="Z23" s="38" t="s">
        <v>884</v>
      </c>
      <c r="AA23" s="38" t="s">
        <v>885</v>
      </c>
      <c r="AB23" s="38" t="s">
        <v>886</v>
      </c>
      <c r="AC23" s="38" t="s">
        <v>887</v>
      </c>
      <c r="AD23" s="38" t="s">
        <v>888</v>
      </c>
      <c r="AE23" s="38" t="s">
        <v>889</v>
      </c>
      <c r="AF23" s="38" t="s">
        <v>890</v>
      </c>
      <c r="AG23" s="38" t="s">
        <v>891</v>
      </c>
      <c r="AH23" s="38" t="s">
        <v>892</v>
      </c>
      <c r="AI23" s="38" t="s">
        <v>893</v>
      </c>
      <c r="AJ23" s="38" t="s">
        <v>894</v>
      </c>
    </row>
    <row r="24" spans="2:36" x14ac:dyDescent="0.25">
      <c r="B24" s="96" t="s">
        <v>1019</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1019</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x14ac:dyDescent="0.25">
      <c r="B25" s="97" t="s">
        <v>1024</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1024</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x14ac:dyDescent="0.25">
      <c r="B26" s="97" t="s">
        <v>1025</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1025</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25">
      <c r="B27" s="98" t="s">
        <v>1026</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1026</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25">
      <c r="B29" s="142" t="str">
        <f>HLOOKUP($B$5,Region_Table,8,0)</f>
        <v>Nottinghamshire - N53</v>
      </c>
      <c r="C29" s="528" t="s">
        <v>1156</v>
      </c>
      <c r="D29" s="529"/>
      <c r="E29" s="529"/>
      <c r="F29" s="529"/>
      <c r="G29" s="529"/>
      <c r="H29" s="529"/>
      <c r="I29" s="529"/>
      <c r="J29" s="529"/>
      <c r="K29" s="529"/>
      <c r="L29" s="529"/>
      <c r="M29" s="538"/>
      <c r="N29" s="538"/>
      <c r="O29" s="539"/>
      <c r="P29" s="515">
        <f>SUMIFS('caseload data'!V:V,'caseload data'!B:B,"custody",'caseload data'!$C:$C,'custody caseload'!B29)</f>
        <v>0</v>
      </c>
      <c r="Q29" s="532"/>
      <c r="R29" s="533"/>
      <c r="S29" s="64"/>
      <c r="T29" s="142" t="str">
        <f>HLOOKUP($B$5,Region_Table,9,0)</f>
        <v>Unpaid Work and Attendance Centres - N53</v>
      </c>
      <c r="U29" s="528" t="s">
        <v>1156</v>
      </c>
      <c r="V29" s="529"/>
      <c r="W29" s="529"/>
      <c r="X29" s="529"/>
      <c r="Y29" s="529"/>
      <c r="Z29" s="529"/>
      <c r="AA29" s="529"/>
      <c r="AB29" s="529"/>
      <c r="AC29" s="529"/>
      <c r="AD29" s="529"/>
      <c r="AE29" s="538"/>
      <c r="AF29" s="538"/>
      <c r="AG29" s="539"/>
      <c r="AH29" s="515">
        <f>SUMIFS('caseload data'!V:V,'caseload data'!B:B,"custody",'caseload data'!$C:$C,'custody caseload'!T29)</f>
        <v>0</v>
      </c>
      <c r="AI29" s="532"/>
      <c r="AJ29" s="533"/>
    </row>
    <row r="30" spans="2:36" x14ac:dyDescent="0.25">
      <c r="B30" s="95" t="s">
        <v>1023</v>
      </c>
      <c r="C30" s="38" t="s">
        <v>879</v>
      </c>
      <c r="D30" s="38" t="s">
        <v>880</v>
      </c>
      <c r="E30" s="38" t="s">
        <v>881</v>
      </c>
      <c r="F30" s="38" t="s">
        <v>882</v>
      </c>
      <c r="G30" s="38" t="s">
        <v>883</v>
      </c>
      <c r="H30" s="38" t="s">
        <v>884</v>
      </c>
      <c r="I30" s="38" t="s">
        <v>885</v>
      </c>
      <c r="J30" s="38" t="s">
        <v>886</v>
      </c>
      <c r="K30" s="38" t="s">
        <v>887</v>
      </c>
      <c r="L30" s="38" t="s">
        <v>888</v>
      </c>
      <c r="M30" s="38" t="s">
        <v>889</v>
      </c>
      <c r="N30" s="38" t="s">
        <v>890</v>
      </c>
      <c r="O30" s="38" t="s">
        <v>891</v>
      </c>
      <c r="P30" s="38" t="s">
        <v>892</v>
      </c>
      <c r="Q30" s="38" t="s">
        <v>893</v>
      </c>
      <c r="R30" s="38" t="s">
        <v>894</v>
      </c>
      <c r="S30" s="64"/>
      <c r="T30" s="95" t="s">
        <v>1023</v>
      </c>
      <c r="U30" s="38" t="s">
        <v>879</v>
      </c>
      <c r="V30" s="38" t="s">
        <v>880</v>
      </c>
      <c r="W30" s="38" t="s">
        <v>881</v>
      </c>
      <c r="X30" s="38" t="s">
        <v>882</v>
      </c>
      <c r="Y30" s="38" t="s">
        <v>883</v>
      </c>
      <c r="Z30" s="38" t="s">
        <v>884</v>
      </c>
      <c r="AA30" s="38" t="s">
        <v>885</v>
      </c>
      <c r="AB30" s="38" t="s">
        <v>886</v>
      </c>
      <c r="AC30" s="38" t="s">
        <v>887</v>
      </c>
      <c r="AD30" s="38" t="s">
        <v>888</v>
      </c>
      <c r="AE30" s="38" t="s">
        <v>889</v>
      </c>
      <c r="AF30" s="38" t="s">
        <v>890</v>
      </c>
      <c r="AG30" s="38" t="s">
        <v>891</v>
      </c>
      <c r="AH30" s="38" t="s">
        <v>892</v>
      </c>
      <c r="AI30" s="38" t="s">
        <v>893</v>
      </c>
      <c r="AJ30" s="38" t="s">
        <v>894</v>
      </c>
    </row>
    <row r="31" spans="2:36" x14ac:dyDescent="0.25">
      <c r="B31" s="96" t="s">
        <v>1019</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1019</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x14ac:dyDescent="0.25">
      <c r="B32" s="97" t="s">
        <v>1024</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1024</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x14ac:dyDescent="0.25">
      <c r="B33" s="97" t="s">
        <v>1025</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1025</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25">
      <c r="B34" s="98" t="s">
        <v>1026</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1026</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25">
      <c r="B36" s="142">
        <f>HLOOKUP($B$5,Region_Table,10,0)</f>
        <v>0</v>
      </c>
      <c r="C36" s="528" t="s">
        <v>1157</v>
      </c>
      <c r="D36" s="529"/>
      <c r="E36" s="529"/>
      <c r="F36" s="529"/>
      <c r="G36" s="529"/>
      <c r="H36" s="529"/>
      <c r="I36" s="529"/>
      <c r="J36" s="529"/>
      <c r="K36" s="529"/>
      <c r="L36" s="529"/>
      <c r="M36" s="538"/>
      <c r="N36" s="538"/>
      <c r="O36" s="539"/>
      <c r="P36" s="515">
        <f>SUMIFS('caseload data'!V:V,'caseload data'!B:B,"custody",'caseload data'!$C:$C,'custody caseload'!B36)</f>
        <v>0</v>
      </c>
      <c r="Q36" s="532"/>
      <c r="R36" s="533"/>
      <c r="S36" s="64"/>
      <c r="T36" s="142">
        <f>HLOOKUP($B$5,Region_Table,11,0)</f>
        <v>0</v>
      </c>
      <c r="U36" s="528" t="s">
        <v>1156</v>
      </c>
      <c r="V36" s="529"/>
      <c r="W36" s="529"/>
      <c r="X36" s="529"/>
      <c r="Y36" s="529"/>
      <c r="Z36" s="529"/>
      <c r="AA36" s="529"/>
      <c r="AB36" s="529"/>
      <c r="AC36" s="529"/>
      <c r="AD36" s="529"/>
      <c r="AE36" s="538"/>
      <c r="AF36" s="538"/>
      <c r="AG36" s="539"/>
      <c r="AH36" s="515">
        <f>SUMIFS('caseload data'!V:V,'caseload data'!B:B,"custody",'caseload data'!$C:$C,'custody caseload'!T36)</f>
        <v>0</v>
      </c>
      <c r="AI36" s="532"/>
      <c r="AJ36" s="533"/>
    </row>
    <row r="37" spans="2:36" x14ac:dyDescent="0.25">
      <c r="B37" s="95" t="s">
        <v>1023</v>
      </c>
      <c r="C37" s="38" t="s">
        <v>879</v>
      </c>
      <c r="D37" s="38" t="s">
        <v>880</v>
      </c>
      <c r="E37" s="38" t="s">
        <v>881</v>
      </c>
      <c r="F37" s="38" t="s">
        <v>882</v>
      </c>
      <c r="G37" s="38" t="s">
        <v>883</v>
      </c>
      <c r="H37" s="38" t="s">
        <v>884</v>
      </c>
      <c r="I37" s="38" t="s">
        <v>885</v>
      </c>
      <c r="J37" s="38" t="s">
        <v>886</v>
      </c>
      <c r="K37" s="38" t="s">
        <v>887</v>
      </c>
      <c r="L37" s="38" t="s">
        <v>888</v>
      </c>
      <c r="M37" s="38" t="s">
        <v>889</v>
      </c>
      <c r="N37" s="38" t="s">
        <v>890</v>
      </c>
      <c r="O37" s="38" t="s">
        <v>891</v>
      </c>
      <c r="P37" s="38" t="s">
        <v>892</v>
      </c>
      <c r="Q37" s="38" t="s">
        <v>893</v>
      </c>
      <c r="R37" s="38" t="s">
        <v>894</v>
      </c>
      <c r="S37" s="64"/>
      <c r="T37" s="95" t="s">
        <v>1023</v>
      </c>
      <c r="U37" s="38" t="s">
        <v>879</v>
      </c>
      <c r="V37" s="38" t="s">
        <v>880</v>
      </c>
      <c r="W37" s="38" t="s">
        <v>881</v>
      </c>
      <c r="X37" s="38" t="s">
        <v>882</v>
      </c>
      <c r="Y37" s="38" t="s">
        <v>883</v>
      </c>
      <c r="Z37" s="38" t="s">
        <v>884</v>
      </c>
      <c r="AA37" s="38" t="s">
        <v>885</v>
      </c>
      <c r="AB37" s="38" t="s">
        <v>886</v>
      </c>
      <c r="AC37" s="38" t="s">
        <v>887</v>
      </c>
      <c r="AD37" s="38" t="s">
        <v>888</v>
      </c>
      <c r="AE37" s="38" t="s">
        <v>889</v>
      </c>
      <c r="AF37" s="38" t="s">
        <v>890</v>
      </c>
      <c r="AG37" s="38" t="s">
        <v>891</v>
      </c>
      <c r="AH37" s="38" t="s">
        <v>892</v>
      </c>
      <c r="AI37" s="38" t="s">
        <v>893</v>
      </c>
      <c r="AJ37" s="38" t="s">
        <v>894</v>
      </c>
    </row>
    <row r="38" spans="2:36" x14ac:dyDescent="0.25">
      <c r="B38" s="96" t="s">
        <v>1019</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1019</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x14ac:dyDescent="0.25">
      <c r="B39" s="97" t="s">
        <v>1024</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1024</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x14ac:dyDescent="0.25">
      <c r="B40" s="97" t="s">
        <v>1025</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1025</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25">
      <c r="B41" s="98" t="s">
        <v>1026</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1026</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25">
      <c r="B43" s="142">
        <f>HLOOKUP($B$5,Region_Table,12,0)</f>
        <v>0</v>
      </c>
      <c r="C43" s="528" t="s">
        <v>1156</v>
      </c>
      <c r="D43" s="529"/>
      <c r="E43" s="529"/>
      <c r="F43" s="529"/>
      <c r="G43" s="529"/>
      <c r="H43" s="529"/>
      <c r="I43" s="529"/>
      <c r="J43" s="529"/>
      <c r="K43" s="529"/>
      <c r="L43" s="529"/>
      <c r="M43" s="538"/>
      <c r="N43" s="538"/>
      <c r="O43" s="539"/>
      <c r="P43" s="515">
        <f>SUMIFS('caseload data'!V:V,'caseload data'!B:B,"custody",'caseload data'!$C:$C,'custody caseload'!B43)</f>
        <v>0</v>
      </c>
      <c r="Q43" s="532"/>
      <c r="R43" s="533"/>
      <c r="S43" s="64"/>
      <c r="T43" s="142">
        <f>HLOOKUP($B$5,Region_Table,13,0)</f>
        <v>0</v>
      </c>
      <c r="U43" s="528" t="s">
        <v>1156</v>
      </c>
      <c r="V43" s="529"/>
      <c r="W43" s="529"/>
      <c r="X43" s="529"/>
      <c r="Y43" s="529"/>
      <c r="Z43" s="529"/>
      <c r="AA43" s="529"/>
      <c r="AB43" s="529"/>
      <c r="AC43" s="529"/>
      <c r="AD43" s="529"/>
      <c r="AE43" s="538"/>
      <c r="AF43" s="538"/>
      <c r="AG43" s="539"/>
      <c r="AH43" s="515">
        <f>SUMIFS('caseload data'!V:V,'caseload data'!B:B,"custody",'caseload data'!$C:$C,'custody caseload'!T43)</f>
        <v>0</v>
      </c>
      <c r="AI43" s="532"/>
      <c r="AJ43" s="533"/>
    </row>
    <row r="44" spans="2:36" x14ac:dyDescent="0.25">
      <c r="B44" s="95" t="s">
        <v>1023</v>
      </c>
      <c r="C44" s="38" t="s">
        <v>879</v>
      </c>
      <c r="D44" s="38" t="s">
        <v>880</v>
      </c>
      <c r="E44" s="38" t="s">
        <v>881</v>
      </c>
      <c r="F44" s="38" t="s">
        <v>882</v>
      </c>
      <c r="G44" s="38" t="s">
        <v>883</v>
      </c>
      <c r="H44" s="38" t="s">
        <v>884</v>
      </c>
      <c r="I44" s="38" t="s">
        <v>885</v>
      </c>
      <c r="J44" s="38" t="s">
        <v>886</v>
      </c>
      <c r="K44" s="38" t="s">
        <v>887</v>
      </c>
      <c r="L44" s="38" t="s">
        <v>888</v>
      </c>
      <c r="M44" s="38" t="s">
        <v>889</v>
      </c>
      <c r="N44" s="38" t="s">
        <v>890</v>
      </c>
      <c r="O44" s="38" t="s">
        <v>891</v>
      </c>
      <c r="P44" s="38" t="s">
        <v>892</v>
      </c>
      <c r="Q44" s="38" t="s">
        <v>893</v>
      </c>
      <c r="R44" s="38" t="s">
        <v>894</v>
      </c>
      <c r="S44" s="64"/>
      <c r="T44" s="95" t="s">
        <v>1023</v>
      </c>
      <c r="U44" s="38" t="s">
        <v>879</v>
      </c>
      <c r="V44" s="38" t="s">
        <v>880</v>
      </c>
      <c r="W44" s="38" t="s">
        <v>881</v>
      </c>
      <c r="X44" s="38" t="s">
        <v>882</v>
      </c>
      <c r="Y44" s="38" t="s">
        <v>883</v>
      </c>
      <c r="Z44" s="38" t="s">
        <v>884</v>
      </c>
      <c r="AA44" s="38" t="s">
        <v>885</v>
      </c>
      <c r="AB44" s="38" t="s">
        <v>886</v>
      </c>
      <c r="AC44" s="38" t="s">
        <v>887</v>
      </c>
      <c r="AD44" s="38" t="s">
        <v>888</v>
      </c>
      <c r="AE44" s="38" t="s">
        <v>889</v>
      </c>
      <c r="AF44" s="38" t="s">
        <v>890</v>
      </c>
      <c r="AG44" s="38" t="s">
        <v>891</v>
      </c>
      <c r="AH44" s="38" t="s">
        <v>892</v>
      </c>
      <c r="AI44" s="38" t="s">
        <v>893</v>
      </c>
      <c r="AJ44" s="38" t="s">
        <v>894</v>
      </c>
    </row>
    <row r="45" spans="2:36" x14ac:dyDescent="0.25">
      <c r="B45" s="96" t="s">
        <v>1019</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1019</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x14ac:dyDescent="0.25">
      <c r="B46" s="97" t="s">
        <v>1024</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1024</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x14ac:dyDescent="0.25">
      <c r="B47" s="97" t="s">
        <v>1025</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1025</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25">
      <c r="B48" s="98" t="s">
        <v>1026</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1026</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25">
      <c r="B50" s="142">
        <f>HLOOKUP($B$5,Region_Table,14,0)</f>
        <v>0</v>
      </c>
      <c r="C50" s="528" t="s">
        <v>1156</v>
      </c>
      <c r="D50" s="529"/>
      <c r="E50" s="529"/>
      <c r="F50" s="529"/>
      <c r="G50" s="529"/>
      <c r="H50" s="529"/>
      <c r="I50" s="529"/>
      <c r="J50" s="529"/>
      <c r="K50" s="529"/>
      <c r="L50" s="529"/>
      <c r="M50" s="538"/>
      <c r="N50" s="538"/>
      <c r="O50" s="539"/>
      <c r="P50" s="515">
        <f>SUMIFS('caseload data'!V:V,'caseload data'!B:B,"custody",'caseload data'!$C:$C,'custody caseload'!B50)</f>
        <v>0</v>
      </c>
      <c r="Q50" s="532"/>
      <c r="R50" s="533"/>
      <c r="S50" s="64"/>
      <c r="T50" s="142">
        <f>HLOOKUP($B$5,Region_Table,15,0)</f>
        <v>0</v>
      </c>
      <c r="U50" s="528" t="s">
        <v>1156</v>
      </c>
      <c r="V50" s="529"/>
      <c r="W50" s="529"/>
      <c r="X50" s="529"/>
      <c r="Y50" s="529"/>
      <c r="Z50" s="529"/>
      <c r="AA50" s="529"/>
      <c r="AB50" s="529"/>
      <c r="AC50" s="529"/>
      <c r="AD50" s="529"/>
      <c r="AE50" s="538"/>
      <c r="AF50" s="538"/>
      <c r="AG50" s="539"/>
      <c r="AH50" s="515">
        <f>SUMIFS('caseload data'!V:V,'caseload data'!B:B,"custody",'caseload data'!$C:$C,'custody caseload'!T50)</f>
        <v>0</v>
      </c>
      <c r="AI50" s="532"/>
      <c r="AJ50" s="533"/>
    </row>
    <row r="51" spans="2:36" x14ac:dyDescent="0.25">
      <c r="B51" s="95" t="s">
        <v>1023</v>
      </c>
      <c r="C51" s="38" t="s">
        <v>879</v>
      </c>
      <c r="D51" s="38" t="s">
        <v>880</v>
      </c>
      <c r="E51" s="38" t="s">
        <v>881</v>
      </c>
      <c r="F51" s="38" t="s">
        <v>882</v>
      </c>
      <c r="G51" s="38" t="s">
        <v>883</v>
      </c>
      <c r="H51" s="38" t="s">
        <v>884</v>
      </c>
      <c r="I51" s="38" t="s">
        <v>885</v>
      </c>
      <c r="J51" s="38" t="s">
        <v>886</v>
      </c>
      <c r="K51" s="38" t="s">
        <v>887</v>
      </c>
      <c r="L51" s="38" t="s">
        <v>888</v>
      </c>
      <c r="M51" s="38" t="s">
        <v>889</v>
      </c>
      <c r="N51" s="38" t="s">
        <v>890</v>
      </c>
      <c r="O51" s="38" t="s">
        <v>891</v>
      </c>
      <c r="P51" s="38" t="s">
        <v>892</v>
      </c>
      <c r="Q51" s="38" t="s">
        <v>893</v>
      </c>
      <c r="R51" s="38" t="s">
        <v>894</v>
      </c>
      <c r="S51" s="64"/>
      <c r="T51" s="95" t="s">
        <v>1023</v>
      </c>
      <c r="U51" s="38" t="s">
        <v>879</v>
      </c>
      <c r="V51" s="38" t="s">
        <v>880</v>
      </c>
      <c r="W51" s="38" t="s">
        <v>881</v>
      </c>
      <c r="X51" s="38" t="s">
        <v>882</v>
      </c>
      <c r="Y51" s="38" t="s">
        <v>883</v>
      </c>
      <c r="Z51" s="38" t="s">
        <v>884</v>
      </c>
      <c r="AA51" s="38" t="s">
        <v>885</v>
      </c>
      <c r="AB51" s="38" t="s">
        <v>886</v>
      </c>
      <c r="AC51" s="38" t="s">
        <v>887</v>
      </c>
      <c r="AD51" s="38" t="s">
        <v>888</v>
      </c>
      <c r="AE51" s="38" t="s">
        <v>889</v>
      </c>
      <c r="AF51" s="38" t="s">
        <v>890</v>
      </c>
      <c r="AG51" s="38" t="s">
        <v>891</v>
      </c>
      <c r="AH51" s="38" t="s">
        <v>892</v>
      </c>
      <c r="AI51" s="38" t="s">
        <v>893</v>
      </c>
      <c r="AJ51" s="38" t="s">
        <v>894</v>
      </c>
    </row>
    <row r="52" spans="2:36" x14ac:dyDescent="0.25">
      <c r="B52" s="96" t="s">
        <v>1019</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1019</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x14ac:dyDescent="0.25">
      <c r="B53" s="97" t="s">
        <v>1024</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1024</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x14ac:dyDescent="0.25">
      <c r="B54" s="97" t="s">
        <v>1025</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1025</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25">
      <c r="B55" s="98" t="s">
        <v>1026</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1026</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25">
      <c r="B57" s="142">
        <f>HLOOKUP($B$5,Region_Table,16,0)</f>
        <v>0</v>
      </c>
      <c r="C57" s="528" t="s">
        <v>1156</v>
      </c>
      <c r="D57" s="529"/>
      <c r="E57" s="529"/>
      <c r="F57" s="529"/>
      <c r="G57" s="529"/>
      <c r="H57" s="529"/>
      <c r="I57" s="529"/>
      <c r="J57" s="529"/>
      <c r="K57" s="529"/>
      <c r="L57" s="529"/>
      <c r="M57" s="538"/>
      <c r="N57" s="538"/>
      <c r="O57" s="539"/>
      <c r="P57" s="515">
        <f>SUMIFS('caseload data'!V:V,'caseload data'!B:B,"custody",'caseload data'!$C:$C,'custody caseload'!B57)</f>
        <v>0</v>
      </c>
      <c r="Q57" s="532"/>
      <c r="R57" s="533"/>
      <c r="S57" s="64"/>
      <c r="T57" s="142">
        <f>HLOOKUP($B$5,Region_Table,17,0)</f>
        <v>0</v>
      </c>
      <c r="U57" s="528" t="s">
        <v>1156</v>
      </c>
      <c r="V57" s="529"/>
      <c r="W57" s="529"/>
      <c r="X57" s="529"/>
      <c r="Y57" s="529"/>
      <c r="Z57" s="529"/>
      <c r="AA57" s="529"/>
      <c r="AB57" s="529"/>
      <c r="AC57" s="529"/>
      <c r="AD57" s="529"/>
      <c r="AE57" s="538"/>
      <c r="AF57" s="538"/>
      <c r="AG57" s="539"/>
      <c r="AH57" s="515">
        <f>SUMIFS('caseload data'!V:V,'caseload data'!B:B,"custody",'caseload data'!$C:$C,'custody caseload'!T57)</f>
        <v>0</v>
      </c>
      <c r="AI57" s="532"/>
      <c r="AJ57" s="533"/>
    </row>
    <row r="58" spans="2:36" x14ac:dyDescent="0.25">
      <c r="B58" s="95" t="s">
        <v>1023</v>
      </c>
      <c r="C58" s="38" t="s">
        <v>879</v>
      </c>
      <c r="D58" s="38" t="s">
        <v>880</v>
      </c>
      <c r="E58" s="38" t="s">
        <v>881</v>
      </c>
      <c r="F58" s="38" t="s">
        <v>882</v>
      </c>
      <c r="G58" s="38" t="s">
        <v>883</v>
      </c>
      <c r="H58" s="38" t="s">
        <v>884</v>
      </c>
      <c r="I58" s="38" t="s">
        <v>885</v>
      </c>
      <c r="J58" s="38" t="s">
        <v>886</v>
      </c>
      <c r="K58" s="38" t="s">
        <v>887</v>
      </c>
      <c r="L58" s="38" t="s">
        <v>888</v>
      </c>
      <c r="M58" s="38" t="s">
        <v>889</v>
      </c>
      <c r="N58" s="38" t="s">
        <v>890</v>
      </c>
      <c r="O58" s="38" t="s">
        <v>891</v>
      </c>
      <c r="P58" s="38" t="s">
        <v>892</v>
      </c>
      <c r="Q58" s="38" t="s">
        <v>893</v>
      </c>
      <c r="R58" s="38" t="s">
        <v>894</v>
      </c>
      <c r="S58" s="64"/>
      <c r="T58" s="95" t="s">
        <v>1023</v>
      </c>
      <c r="U58" s="38" t="s">
        <v>879</v>
      </c>
      <c r="V58" s="38" t="s">
        <v>880</v>
      </c>
      <c r="W58" s="38" t="s">
        <v>881</v>
      </c>
      <c r="X58" s="38" t="s">
        <v>882</v>
      </c>
      <c r="Y58" s="38" t="s">
        <v>883</v>
      </c>
      <c r="Z58" s="38" t="s">
        <v>884</v>
      </c>
      <c r="AA58" s="38" t="s">
        <v>885</v>
      </c>
      <c r="AB58" s="38" t="s">
        <v>886</v>
      </c>
      <c r="AC58" s="38" t="s">
        <v>887</v>
      </c>
      <c r="AD58" s="38" t="s">
        <v>888</v>
      </c>
      <c r="AE58" s="38" t="s">
        <v>889</v>
      </c>
      <c r="AF58" s="38" t="s">
        <v>890</v>
      </c>
      <c r="AG58" s="38" t="s">
        <v>891</v>
      </c>
      <c r="AH58" s="38" t="s">
        <v>892</v>
      </c>
      <c r="AI58" s="38" t="s">
        <v>893</v>
      </c>
      <c r="AJ58" s="38" t="s">
        <v>894</v>
      </c>
    </row>
    <row r="59" spans="2:36" x14ac:dyDescent="0.25">
      <c r="B59" s="96" t="s">
        <v>1019</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1019</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x14ac:dyDescent="0.25">
      <c r="B60" s="97" t="s">
        <v>1024</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1024</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x14ac:dyDescent="0.25">
      <c r="B61" s="97" t="s">
        <v>1025</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1025</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25">
      <c r="B62" s="98" t="s">
        <v>1026</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1026</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25">
      <c r="B64" s="142">
        <f>HLOOKUP($B$5,Region_Table,18,0)</f>
        <v>0</v>
      </c>
      <c r="C64" s="528" t="s">
        <v>1156</v>
      </c>
      <c r="D64" s="529"/>
      <c r="E64" s="529"/>
      <c r="F64" s="529"/>
      <c r="G64" s="529"/>
      <c r="H64" s="529"/>
      <c r="I64" s="529"/>
      <c r="J64" s="529"/>
      <c r="K64" s="529"/>
      <c r="L64" s="529"/>
      <c r="M64" s="538"/>
      <c r="N64" s="538"/>
      <c r="O64" s="539"/>
      <c r="P64" s="515">
        <f>SUMIFS('caseload data'!V:V,'caseload data'!B:B,"custody",'caseload data'!$C:$C,'custody caseload'!B64)</f>
        <v>0</v>
      </c>
      <c r="Q64" s="532"/>
      <c r="R64" s="533"/>
      <c r="S64" s="64"/>
      <c r="T64" s="142">
        <f>HLOOKUP($B$5,Region_Table,19,0)</f>
        <v>0</v>
      </c>
      <c r="U64" s="528" t="s">
        <v>1156</v>
      </c>
      <c r="V64" s="529"/>
      <c r="W64" s="529"/>
      <c r="X64" s="529"/>
      <c r="Y64" s="529"/>
      <c r="Z64" s="529"/>
      <c r="AA64" s="529"/>
      <c r="AB64" s="529"/>
      <c r="AC64" s="529"/>
      <c r="AD64" s="529"/>
      <c r="AE64" s="538"/>
      <c r="AF64" s="538"/>
      <c r="AG64" s="539"/>
      <c r="AH64" s="515">
        <f>SUMIFS('caseload data'!V:V,'caseload data'!B:B,"custody",'caseload data'!$C:$C,'custody caseload'!T64)</f>
        <v>0</v>
      </c>
      <c r="AI64" s="532"/>
      <c r="AJ64" s="533"/>
    </row>
    <row r="65" spans="2:36" x14ac:dyDescent="0.25">
      <c r="B65" s="95" t="s">
        <v>1023</v>
      </c>
      <c r="C65" s="38" t="s">
        <v>879</v>
      </c>
      <c r="D65" s="38" t="s">
        <v>880</v>
      </c>
      <c r="E65" s="38" t="s">
        <v>881</v>
      </c>
      <c r="F65" s="38" t="s">
        <v>882</v>
      </c>
      <c r="G65" s="38" t="s">
        <v>883</v>
      </c>
      <c r="H65" s="38" t="s">
        <v>884</v>
      </c>
      <c r="I65" s="38" t="s">
        <v>885</v>
      </c>
      <c r="J65" s="38" t="s">
        <v>886</v>
      </c>
      <c r="K65" s="38" t="s">
        <v>887</v>
      </c>
      <c r="L65" s="38" t="s">
        <v>888</v>
      </c>
      <c r="M65" s="38" t="s">
        <v>889</v>
      </c>
      <c r="N65" s="38" t="s">
        <v>890</v>
      </c>
      <c r="O65" s="38" t="s">
        <v>891</v>
      </c>
      <c r="P65" s="38" t="s">
        <v>892</v>
      </c>
      <c r="Q65" s="38" t="s">
        <v>893</v>
      </c>
      <c r="R65" s="38" t="s">
        <v>894</v>
      </c>
      <c r="S65" s="64"/>
      <c r="T65" s="95" t="s">
        <v>1023</v>
      </c>
      <c r="U65" s="38" t="s">
        <v>879</v>
      </c>
      <c r="V65" s="38" t="s">
        <v>880</v>
      </c>
      <c r="W65" s="38" t="s">
        <v>881</v>
      </c>
      <c r="X65" s="38" t="s">
        <v>882</v>
      </c>
      <c r="Y65" s="38" t="s">
        <v>883</v>
      </c>
      <c r="Z65" s="38" t="s">
        <v>884</v>
      </c>
      <c r="AA65" s="38" t="s">
        <v>885</v>
      </c>
      <c r="AB65" s="38" t="s">
        <v>886</v>
      </c>
      <c r="AC65" s="38" t="s">
        <v>887</v>
      </c>
      <c r="AD65" s="38" t="s">
        <v>888</v>
      </c>
      <c r="AE65" s="38" t="s">
        <v>889</v>
      </c>
      <c r="AF65" s="38" t="s">
        <v>890</v>
      </c>
      <c r="AG65" s="38" t="s">
        <v>891</v>
      </c>
      <c r="AH65" s="38" t="s">
        <v>892</v>
      </c>
      <c r="AI65" s="38" t="s">
        <v>893</v>
      </c>
      <c r="AJ65" s="38" t="s">
        <v>894</v>
      </c>
    </row>
    <row r="66" spans="2:36" x14ac:dyDescent="0.25">
      <c r="B66" s="96" t="s">
        <v>1019</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1019</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x14ac:dyDescent="0.25">
      <c r="B67" s="97" t="s">
        <v>1024</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1024</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x14ac:dyDescent="0.25">
      <c r="B68" s="97" t="s">
        <v>1025</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1025</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25">
      <c r="B69" s="98" t="s">
        <v>1026</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1026</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25">
      <c r="B71" s="142">
        <f>HLOOKUP($B$5,Region_Table,20,0)</f>
        <v>0</v>
      </c>
      <c r="C71" s="528" t="s">
        <v>1156</v>
      </c>
      <c r="D71" s="529"/>
      <c r="E71" s="529"/>
      <c r="F71" s="529"/>
      <c r="G71" s="529"/>
      <c r="H71" s="529"/>
      <c r="I71" s="529"/>
      <c r="J71" s="529"/>
      <c r="K71" s="529"/>
      <c r="L71" s="529"/>
      <c r="M71" s="538"/>
      <c r="N71" s="538"/>
      <c r="O71" s="539"/>
      <c r="P71" s="515">
        <f>SUMIFS('caseload data'!V:V,'caseload data'!B:B,"custody",'caseload data'!$C:$C,'custody caseload'!B71)</f>
        <v>0</v>
      </c>
      <c r="Q71" s="532"/>
      <c r="R71" s="533"/>
      <c r="T71" s="142">
        <f>HLOOKUP($B$5,Region_Table,21,0)</f>
        <v>0</v>
      </c>
      <c r="U71" s="528" t="s">
        <v>1156</v>
      </c>
      <c r="V71" s="529"/>
      <c r="W71" s="529"/>
      <c r="X71" s="529"/>
      <c r="Y71" s="529"/>
      <c r="Z71" s="529"/>
      <c r="AA71" s="529"/>
      <c r="AB71" s="529"/>
      <c r="AC71" s="529"/>
      <c r="AD71" s="529"/>
      <c r="AE71" s="538"/>
      <c r="AF71" s="538"/>
      <c r="AG71" s="539"/>
      <c r="AH71" s="515">
        <f>SUMIFS('caseload data'!V:V,'caseload data'!B:B,"custody",'caseload data'!$C:$C,'custody caseload'!T71)</f>
        <v>0</v>
      </c>
      <c r="AI71" s="532"/>
      <c r="AJ71" s="533"/>
    </row>
    <row r="72" spans="2:36" x14ac:dyDescent="0.25">
      <c r="B72" s="95" t="s">
        <v>1023</v>
      </c>
      <c r="C72" s="38" t="s">
        <v>879</v>
      </c>
      <c r="D72" s="38" t="s">
        <v>880</v>
      </c>
      <c r="E72" s="38" t="s">
        <v>881</v>
      </c>
      <c r="F72" s="38" t="s">
        <v>882</v>
      </c>
      <c r="G72" s="38" t="s">
        <v>883</v>
      </c>
      <c r="H72" s="38" t="s">
        <v>884</v>
      </c>
      <c r="I72" s="38" t="s">
        <v>885</v>
      </c>
      <c r="J72" s="38" t="s">
        <v>886</v>
      </c>
      <c r="K72" s="38" t="s">
        <v>887</v>
      </c>
      <c r="L72" s="38" t="s">
        <v>888</v>
      </c>
      <c r="M72" s="38" t="s">
        <v>889</v>
      </c>
      <c r="N72" s="38" t="s">
        <v>890</v>
      </c>
      <c r="O72" s="38" t="s">
        <v>891</v>
      </c>
      <c r="P72" s="38" t="s">
        <v>892</v>
      </c>
      <c r="Q72" s="38" t="s">
        <v>893</v>
      </c>
      <c r="R72" s="38" t="s">
        <v>894</v>
      </c>
      <c r="T72" s="95" t="s">
        <v>1023</v>
      </c>
      <c r="U72" s="38" t="s">
        <v>879</v>
      </c>
      <c r="V72" s="38" t="s">
        <v>880</v>
      </c>
      <c r="W72" s="38" t="s">
        <v>881</v>
      </c>
      <c r="X72" s="38" t="s">
        <v>882</v>
      </c>
      <c r="Y72" s="38" t="s">
        <v>883</v>
      </c>
      <c r="Z72" s="38" t="s">
        <v>884</v>
      </c>
      <c r="AA72" s="38" t="s">
        <v>885</v>
      </c>
      <c r="AB72" s="38" t="s">
        <v>886</v>
      </c>
      <c r="AC72" s="38" t="s">
        <v>887</v>
      </c>
      <c r="AD72" s="38" t="s">
        <v>888</v>
      </c>
      <c r="AE72" s="38" t="s">
        <v>889</v>
      </c>
      <c r="AF72" s="38" t="s">
        <v>890</v>
      </c>
      <c r="AG72" s="38" t="s">
        <v>891</v>
      </c>
      <c r="AH72" s="38" t="s">
        <v>892</v>
      </c>
      <c r="AI72" s="38" t="s">
        <v>893</v>
      </c>
      <c r="AJ72" s="38" t="s">
        <v>894</v>
      </c>
    </row>
    <row r="73" spans="2:36" x14ac:dyDescent="0.25">
      <c r="B73" s="96" t="s">
        <v>1019</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1019</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x14ac:dyDescent="0.25">
      <c r="B74" s="97" t="s">
        <v>1024</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1024</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x14ac:dyDescent="0.25">
      <c r="B75" s="97" t="s">
        <v>1025</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1025</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25">
      <c r="B76" s="98" t="s">
        <v>1026</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1026</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25">
      <c r="B78" s="142">
        <f>HLOOKUP($B$5,Region_Table,22,0)</f>
        <v>0</v>
      </c>
      <c r="C78" s="528" t="s">
        <v>1156</v>
      </c>
      <c r="D78" s="529"/>
      <c r="E78" s="529"/>
      <c r="F78" s="529"/>
      <c r="G78" s="529"/>
      <c r="H78" s="529"/>
      <c r="I78" s="529"/>
      <c r="J78" s="529"/>
      <c r="K78" s="529"/>
      <c r="L78" s="529"/>
      <c r="M78" s="538"/>
      <c r="N78" s="538"/>
      <c r="O78" s="539"/>
      <c r="P78" s="515">
        <f>SUMIFS('caseload data'!V:V,'caseload data'!B:B,"custody",'caseload data'!$C:$C,'custody caseload'!B78)</f>
        <v>0</v>
      </c>
      <c r="Q78" s="532"/>
      <c r="R78" s="533"/>
      <c r="T78" s="142">
        <f>HLOOKUP($B$5,Region_Table,23,0)</f>
        <v>0</v>
      </c>
      <c r="U78" s="528" t="s">
        <v>1156</v>
      </c>
      <c r="V78" s="529"/>
      <c r="W78" s="529"/>
      <c r="X78" s="529"/>
      <c r="Y78" s="529"/>
      <c r="Z78" s="529"/>
      <c r="AA78" s="529"/>
      <c r="AB78" s="529"/>
      <c r="AC78" s="529"/>
      <c r="AD78" s="529"/>
      <c r="AE78" s="538"/>
      <c r="AF78" s="538"/>
      <c r="AG78" s="539"/>
      <c r="AH78" s="515">
        <f>SUMIFS('caseload data'!V:V,'caseload data'!B:B,"custody",'caseload data'!$C:$C,'custody caseload'!T78)</f>
        <v>0</v>
      </c>
      <c r="AI78" s="532"/>
      <c r="AJ78" s="533"/>
    </row>
    <row r="79" spans="2:36" x14ac:dyDescent="0.25">
      <c r="B79" s="95" t="s">
        <v>1023</v>
      </c>
      <c r="C79" s="38" t="s">
        <v>879</v>
      </c>
      <c r="D79" s="38" t="s">
        <v>880</v>
      </c>
      <c r="E79" s="38" t="s">
        <v>881</v>
      </c>
      <c r="F79" s="38" t="s">
        <v>882</v>
      </c>
      <c r="G79" s="38" t="s">
        <v>883</v>
      </c>
      <c r="H79" s="38" t="s">
        <v>884</v>
      </c>
      <c r="I79" s="38" t="s">
        <v>885</v>
      </c>
      <c r="J79" s="38" t="s">
        <v>886</v>
      </c>
      <c r="K79" s="38" t="s">
        <v>887</v>
      </c>
      <c r="L79" s="38" t="s">
        <v>888</v>
      </c>
      <c r="M79" s="38" t="s">
        <v>889</v>
      </c>
      <c r="N79" s="38" t="s">
        <v>890</v>
      </c>
      <c r="O79" s="38" t="s">
        <v>891</v>
      </c>
      <c r="P79" s="38" t="s">
        <v>892</v>
      </c>
      <c r="Q79" s="38" t="s">
        <v>893</v>
      </c>
      <c r="R79" s="38" t="s">
        <v>894</v>
      </c>
      <c r="T79" s="95" t="s">
        <v>1023</v>
      </c>
      <c r="U79" s="38" t="s">
        <v>879</v>
      </c>
      <c r="V79" s="38" t="s">
        <v>880</v>
      </c>
      <c r="W79" s="38" t="s">
        <v>881</v>
      </c>
      <c r="X79" s="38" t="s">
        <v>882</v>
      </c>
      <c r="Y79" s="38" t="s">
        <v>883</v>
      </c>
      <c r="Z79" s="38" t="s">
        <v>884</v>
      </c>
      <c r="AA79" s="38" t="s">
        <v>885</v>
      </c>
      <c r="AB79" s="38" t="s">
        <v>886</v>
      </c>
      <c r="AC79" s="38" t="s">
        <v>887</v>
      </c>
      <c r="AD79" s="38" t="s">
        <v>888</v>
      </c>
      <c r="AE79" s="38" t="s">
        <v>889</v>
      </c>
      <c r="AF79" s="38" t="s">
        <v>890</v>
      </c>
      <c r="AG79" s="38" t="s">
        <v>891</v>
      </c>
      <c r="AH79" s="38" t="s">
        <v>892</v>
      </c>
      <c r="AI79" s="38" t="s">
        <v>893</v>
      </c>
      <c r="AJ79" s="38" t="s">
        <v>894</v>
      </c>
    </row>
    <row r="80" spans="2:36" x14ac:dyDescent="0.25">
      <c r="B80" s="96" t="s">
        <v>1019</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1019</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x14ac:dyDescent="0.25">
      <c r="B81" s="97" t="s">
        <v>1024</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1024</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x14ac:dyDescent="0.25">
      <c r="B82" s="97" t="s">
        <v>1025</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1025</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25">
      <c r="B83" s="98" t="s">
        <v>1026</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1026</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25">
      <c r="B85" s="142">
        <f>HLOOKUP($B$5,Region_Table,24,0)</f>
        <v>0</v>
      </c>
      <c r="C85" s="528" t="s">
        <v>1156</v>
      </c>
      <c r="D85" s="529"/>
      <c r="E85" s="529"/>
      <c r="F85" s="529"/>
      <c r="G85" s="529"/>
      <c r="H85" s="529"/>
      <c r="I85" s="529"/>
      <c r="J85" s="529"/>
      <c r="K85" s="529"/>
      <c r="L85" s="529"/>
      <c r="M85" s="538"/>
      <c r="N85" s="538"/>
      <c r="O85" s="539"/>
      <c r="P85" s="515">
        <f>SUMIFS('caseload data'!V:V,'caseload data'!B:B,"custody",'caseload data'!$C:$C,'custody caseload'!B85)</f>
        <v>0</v>
      </c>
      <c r="Q85" s="532"/>
      <c r="R85" s="533"/>
      <c r="T85" s="142">
        <f>HLOOKUP($B$5,Region_Table,25,0)</f>
        <v>0</v>
      </c>
      <c r="U85" s="528" t="s">
        <v>1156</v>
      </c>
      <c r="V85" s="529"/>
      <c r="W85" s="529"/>
      <c r="X85" s="529"/>
      <c r="Y85" s="529"/>
      <c r="Z85" s="529"/>
      <c r="AA85" s="529"/>
      <c r="AB85" s="529"/>
      <c r="AC85" s="529"/>
      <c r="AD85" s="529"/>
      <c r="AE85" s="538"/>
      <c r="AF85" s="538"/>
      <c r="AG85" s="539"/>
      <c r="AH85" s="515">
        <f>SUMIFS('caseload data'!V:V,'caseload data'!B:B,"custody",'caseload data'!$C:$C,'custody caseload'!T85)</f>
        <v>0</v>
      </c>
      <c r="AI85" s="532"/>
      <c r="AJ85" s="533"/>
    </row>
    <row r="86" spans="2:36" x14ac:dyDescent="0.25">
      <c r="B86" s="95" t="s">
        <v>1023</v>
      </c>
      <c r="C86" s="38" t="s">
        <v>879</v>
      </c>
      <c r="D86" s="38" t="s">
        <v>880</v>
      </c>
      <c r="E86" s="38" t="s">
        <v>881</v>
      </c>
      <c r="F86" s="38" t="s">
        <v>882</v>
      </c>
      <c r="G86" s="38" t="s">
        <v>883</v>
      </c>
      <c r="H86" s="38" t="s">
        <v>884</v>
      </c>
      <c r="I86" s="38" t="s">
        <v>885</v>
      </c>
      <c r="J86" s="38" t="s">
        <v>886</v>
      </c>
      <c r="K86" s="38" t="s">
        <v>887</v>
      </c>
      <c r="L86" s="38" t="s">
        <v>888</v>
      </c>
      <c r="M86" s="38" t="s">
        <v>889</v>
      </c>
      <c r="N86" s="38" t="s">
        <v>890</v>
      </c>
      <c r="O86" s="38" t="s">
        <v>891</v>
      </c>
      <c r="P86" s="38" t="s">
        <v>892</v>
      </c>
      <c r="Q86" s="38" t="s">
        <v>893</v>
      </c>
      <c r="R86" s="38" t="s">
        <v>894</v>
      </c>
      <c r="T86" s="95" t="s">
        <v>1023</v>
      </c>
      <c r="U86" s="38" t="s">
        <v>879</v>
      </c>
      <c r="V86" s="38" t="s">
        <v>880</v>
      </c>
      <c r="W86" s="38" t="s">
        <v>881</v>
      </c>
      <c r="X86" s="38" t="s">
        <v>882</v>
      </c>
      <c r="Y86" s="38" t="s">
        <v>883</v>
      </c>
      <c r="Z86" s="38" t="s">
        <v>884</v>
      </c>
      <c r="AA86" s="38" t="s">
        <v>885</v>
      </c>
      <c r="AB86" s="38" t="s">
        <v>886</v>
      </c>
      <c r="AC86" s="38" t="s">
        <v>887</v>
      </c>
      <c r="AD86" s="38" t="s">
        <v>888</v>
      </c>
      <c r="AE86" s="38" t="s">
        <v>889</v>
      </c>
      <c r="AF86" s="38" t="s">
        <v>890</v>
      </c>
      <c r="AG86" s="38" t="s">
        <v>891</v>
      </c>
      <c r="AH86" s="38" t="s">
        <v>892</v>
      </c>
      <c r="AI86" s="38" t="s">
        <v>893</v>
      </c>
      <c r="AJ86" s="38" t="s">
        <v>894</v>
      </c>
    </row>
    <row r="87" spans="2:36" x14ac:dyDescent="0.25">
      <c r="B87" s="96" t="s">
        <v>1019</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1019</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x14ac:dyDescent="0.25">
      <c r="B88" s="97" t="s">
        <v>1024</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1024</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x14ac:dyDescent="0.25">
      <c r="B89" s="97" t="s">
        <v>1025</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1025</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25">
      <c r="B90" s="98" t="s">
        <v>1026</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1026</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25">
      <c r="B92" s="142">
        <f>HLOOKUP($B$5,Region_Table,26,0)</f>
        <v>0</v>
      </c>
      <c r="C92" s="528" t="s">
        <v>1156</v>
      </c>
      <c r="D92" s="529"/>
      <c r="E92" s="529"/>
      <c r="F92" s="529"/>
      <c r="G92" s="529"/>
      <c r="H92" s="529"/>
      <c r="I92" s="529"/>
      <c r="J92" s="529"/>
      <c r="K92" s="529"/>
      <c r="L92" s="529"/>
      <c r="M92" s="538"/>
      <c r="N92" s="538"/>
      <c r="O92" s="539"/>
      <c r="P92" s="515">
        <f>SUMIFS('caseload data'!V:V,'caseload data'!B:B,"custody",'caseload data'!$C:$C,'custody caseload'!B92)</f>
        <v>0</v>
      </c>
      <c r="Q92" s="532"/>
      <c r="R92" s="533"/>
      <c r="T92" s="142">
        <f>HLOOKUP($B$5,Region_Table,27,0)</f>
        <v>0</v>
      </c>
      <c r="U92" s="528" t="s">
        <v>1156</v>
      </c>
      <c r="V92" s="529"/>
      <c r="W92" s="529"/>
      <c r="X92" s="529"/>
      <c r="Y92" s="529"/>
      <c r="Z92" s="529"/>
      <c r="AA92" s="529"/>
      <c r="AB92" s="529"/>
      <c r="AC92" s="529"/>
      <c r="AD92" s="529"/>
      <c r="AE92" s="538"/>
      <c r="AF92" s="538"/>
      <c r="AG92" s="539"/>
      <c r="AH92" s="515">
        <f>SUMIFS('caseload data'!V:V,'caseload data'!B:B,"custody",'caseload data'!$C:$C,'custody caseload'!T92)</f>
        <v>0</v>
      </c>
      <c r="AI92" s="532"/>
      <c r="AJ92" s="533"/>
    </row>
    <row r="93" spans="2:36" x14ac:dyDescent="0.25">
      <c r="B93" s="95" t="s">
        <v>1023</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T93" s="95" t="s">
        <v>1023</v>
      </c>
      <c r="U93" s="38" t="s">
        <v>879</v>
      </c>
      <c r="V93" s="38" t="s">
        <v>880</v>
      </c>
      <c r="W93" s="38" t="s">
        <v>881</v>
      </c>
      <c r="X93" s="38" t="s">
        <v>882</v>
      </c>
      <c r="Y93" s="38" t="s">
        <v>883</v>
      </c>
      <c r="Z93" s="38" t="s">
        <v>884</v>
      </c>
      <c r="AA93" s="38" t="s">
        <v>885</v>
      </c>
      <c r="AB93" s="38" t="s">
        <v>886</v>
      </c>
      <c r="AC93" s="38" t="s">
        <v>887</v>
      </c>
      <c r="AD93" s="38" t="s">
        <v>888</v>
      </c>
      <c r="AE93" s="38" t="s">
        <v>889</v>
      </c>
      <c r="AF93" s="38" t="s">
        <v>890</v>
      </c>
      <c r="AG93" s="38" t="s">
        <v>891</v>
      </c>
      <c r="AH93" s="38" t="s">
        <v>892</v>
      </c>
      <c r="AI93" s="38" t="s">
        <v>893</v>
      </c>
      <c r="AJ93" s="38" t="s">
        <v>894</v>
      </c>
    </row>
    <row r="94" spans="2:36" x14ac:dyDescent="0.25">
      <c r="B94" s="96" t="s">
        <v>1019</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1019</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x14ac:dyDescent="0.25">
      <c r="B95" s="97" t="s">
        <v>1024</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1024</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x14ac:dyDescent="0.25">
      <c r="B96" s="97" t="s">
        <v>1025</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1025</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25">
      <c r="B97" s="98" t="s">
        <v>1026</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1026</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25">
      <c r="B99" s="142">
        <f>HLOOKUP($B$5,Region_Table,28,0)</f>
        <v>0</v>
      </c>
      <c r="C99" s="528" t="s">
        <v>1156</v>
      </c>
      <c r="D99" s="529"/>
      <c r="E99" s="529"/>
      <c r="F99" s="529"/>
      <c r="G99" s="529"/>
      <c r="H99" s="529"/>
      <c r="I99" s="529"/>
      <c r="J99" s="529"/>
      <c r="K99" s="529"/>
      <c r="L99" s="529"/>
      <c r="M99" s="538"/>
      <c r="N99" s="538"/>
      <c r="O99" s="539"/>
      <c r="P99" s="515">
        <f>SUMIFS('caseload data'!V:V,'caseload data'!B:B,"custody",'caseload data'!$C:$C,'custody caseload'!B99)</f>
        <v>0</v>
      </c>
      <c r="Q99" s="532"/>
      <c r="R99" s="533"/>
      <c r="T99" s="142">
        <f>HLOOKUP($B$5,Region_Table,29,0)</f>
        <v>0</v>
      </c>
      <c r="U99" s="528" t="s">
        <v>1156</v>
      </c>
      <c r="V99" s="529"/>
      <c r="W99" s="529"/>
      <c r="X99" s="529"/>
      <c r="Y99" s="529"/>
      <c r="Z99" s="529"/>
      <c r="AA99" s="529"/>
      <c r="AB99" s="529"/>
      <c r="AC99" s="529"/>
      <c r="AD99" s="529"/>
      <c r="AE99" s="538"/>
      <c r="AF99" s="538"/>
      <c r="AG99" s="539"/>
      <c r="AH99" s="515">
        <f>SUMIFS('caseload data'!V:V,'caseload data'!B:B,"custody",'caseload data'!$C:$C,'custody caseload'!T99)</f>
        <v>0</v>
      </c>
      <c r="AI99" s="532"/>
      <c r="AJ99" s="533"/>
    </row>
    <row r="100" spans="2:36" x14ac:dyDescent="0.25">
      <c r="B100" s="95" t="s">
        <v>1023</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c r="T100" s="95" t="s">
        <v>1023</v>
      </c>
      <c r="U100" s="38" t="s">
        <v>879</v>
      </c>
      <c r="V100" s="38" t="s">
        <v>880</v>
      </c>
      <c r="W100" s="38" t="s">
        <v>881</v>
      </c>
      <c r="X100" s="38" t="s">
        <v>882</v>
      </c>
      <c r="Y100" s="38" t="s">
        <v>883</v>
      </c>
      <c r="Z100" s="38" t="s">
        <v>884</v>
      </c>
      <c r="AA100" s="38" t="s">
        <v>885</v>
      </c>
      <c r="AB100" s="38" t="s">
        <v>886</v>
      </c>
      <c r="AC100" s="38" t="s">
        <v>887</v>
      </c>
      <c r="AD100" s="38" t="s">
        <v>888</v>
      </c>
      <c r="AE100" s="38" t="s">
        <v>889</v>
      </c>
      <c r="AF100" s="38" t="s">
        <v>890</v>
      </c>
      <c r="AG100" s="38" t="s">
        <v>891</v>
      </c>
      <c r="AH100" s="38" t="s">
        <v>892</v>
      </c>
      <c r="AI100" s="38" t="s">
        <v>893</v>
      </c>
      <c r="AJ100" s="38" t="s">
        <v>894</v>
      </c>
    </row>
    <row r="101" spans="2:36" x14ac:dyDescent="0.25">
      <c r="B101" s="96" t="s">
        <v>1019</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1019</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x14ac:dyDescent="0.25">
      <c r="B102" s="97" t="s">
        <v>1024</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1024</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x14ac:dyDescent="0.25">
      <c r="B103" s="97" t="s">
        <v>1025</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1025</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25">
      <c r="B104" s="98" t="s">
        <v>1026</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1026</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2" priority="897" operator="equal">
      <formula>0</formula>
    </cfRule>
    <cfRule type="cellIs" dxfId="3081" priority="898" operator="notEqual">
      <formula>0</formula>
    </cfRule>
  </conditionalFormatting>
  <conditionalFormatting sqref="D11:D12">
    <cfRule type="cellIs" dxfId="3080" priority="895" operator="equal">
      <formula>0</formula>
    </cfRule>
    <cfRule type="cellIs" dxfId="3079" priority="896" operator="notEqual">
      <formula>0</formula>
    </cfRule>
  </conditionalFormatting>
  <conditionalFormatting sqref="E11:E12">
    <cfRule type="cellIs" dxfId="3078" priority="893" operator="equal">
      <formula>0</formula>
    </cfRule>
    <cfRule type="cellIs" dxfId="3077" priority="894" operator="notEqual">
      <formula>0</formula>
    </cfRule>
  </conditionalFormatting>
  <conditionalFormatting sqref="F11:F12">
    <cfRule type="cellIs" dxfId="3076" priority="891" operator="equal">
      <formula>0</formula>
    </cfRule>
    <cfRule type="cellIs" dxfId="3075" priority="892" operator="notEqual">
      <formula>0</formula>
    </cfRule>
  </conditionalFormatting>
  <conditionalFormatting sqref="G11:G12">
    <cfRule type="cellIs" dxfId="3074" priority="887" operator="equal">
      <formula>0</formula>
    </cfRule>
    <cfRule type="cellIs" dxfId="3073" priority="888" operator="notEqual">
      <formula>0</formula>
    </cfRule>
  </conditionalFormatting>
  <conditionalFormatting sqref="H11:H12">
    <cfRule type="cellIs" dxfId="3072" priority="885" operator="equal">
      <formula>0</formula>
    </cfRule>
    <cfRule type="cellIs" dxfId="3071" priority="886" operator="notEqual">
      <formula>0</formula>
    </cfRule>
  </conditionalFormatting>
  <conditionalFormatting sqref="I11:I12">
    <cfRule type="cellIs" dxfId="3070" priority="883" operator="equal">
      <formula>0</formula>
    </cfRule>
    <cfRule type="cellIs" dxfId="3069" priority="884" operator="notEqual">
      <formula>0</formula>
    </cfRule>
  </conditionalFormatting>
  <conditionalFormatting sqref="J11:J12">
    <cfRule type="cellIs" dxfId="3068" priority="881" operator="equal">
      <formula>0</formula>
    </cfRule>
    <cfRule type="cellIs" dxfId="3067" priority="882" operator="notEqual">
      <formula>0</formula>
    </cfRule>
  </conditionalFormatting>
  <conditionalFormatting sqref="O10">
    <cfRule type="cellIs" dxfId="3066" priority="879" operator="equal">
      <formula>0</formula>
    </cfRule>
    <cfRule type="cellIs" dxfId="3065" priority="880" operator="notEqual">
      <formula>0</formula>
    </cfRule>
  </conditionalFormatting>
  <conditionalFormatting sqref="O13">
    <cfRule type="cellIs" dxfId="3064" priority="877" operator="equal">
      <formula>0</formula>
    </cfRule>
    <cfRule type="cellIs" dxfId="3063" priority="878" operator="notEqual">
      <formula>0</formula>
    </cfRule>
  </conditionalFormatting>
  <conditionalFormatting sqref="P10">
    <cfRule type="cellIs" dxfId="3062" priority="875" operator="equal">
      <formula>0</formula>
    </cfRule>
    <cfRule type="cellIs" dxfId="3061" priority="876" operator="notEqual">
      <formula>0</formula>
    </cfRule>
  </conditionalFormatting>
  <conditionalFormatting sqref="P13">
    <cfRule type="cellIs" dxfId="3060" priority="873" operator="equal">
      <formula>0</formula>
    </cfRule>
    <cfRule type="cellIs" dxfId="3059" priority="874" operator="notEqual">
      <formula>0</formula>
    </cfRule>
  </conditionalFormatting>
  <conditionalFormatting sqref="Q10">
    <cfRule type="cellIs" dxfId="3058" priority="871" operator="equal">
      <formula>0</formula>
    </cfRule>
    <cfRule type="cellIs" dxfId="3057" priority="872" operator="notEqual">
      <formula>0</formula>
    </cfRule>
  </conditionalFormatting>
  <conditionalFormatting sqref="Q13">
    <cfRule type="cellIs" dxfId="3056" priority="869" operator="equal">
      <formula>0</formula>
    </cfRule>
    <cfRule type="cellIs" dxfId="3055" priority="870" operator="notEqual">
      <formula>0</formula>
    </cfRule>
  </conditionalFormatting>
  <conditionalFormatting sqref="R10">
    <cfRule type="cellIs" dxfId="3054" priority="867" operator="equal">
      <formula>0</formula>
    </cfRule>
    <cfRule type="cellIs" dxfId="3053" priority="868" operator="notEqual">
      <formula>0</formula>
    </cfRule>
  </conditionalFormatting>
  <conditionalFormatting sqref="R13">
    <cfRule type="cellIs" dxfId="3052" priority="865" operator="equal">
      <formula>0</formula>
    </cfRule>
    <cfRule type="cellIs" dxfId="3051" priority="866" operator="notEqual">
      <formula>0</formula>
    </cfRule>
  </conditionalFormatting>
  <conditionalFormatting sqref="C18:C19">
    <cfRule type="cellIs" dxfId="3050" priority="863" operator="equal">
      <formula>0</formula>
    </cfRule>
    <cfRule type="cellIs" dxfId="3049" priority="864" operator="notEqual">
      <formula>0</formula>
    </cfRule>
  </conditionalFormatting>
  <conditionalFormatting sqref="D18:D19">
    <cfRule type="cellIs" dxfId="3048" priority="861" operator="equal">
      <formula>0</formula>
    </cfRule>
    <cfRule type="cellIs" dxfId="3047" priority="862" operator="notEqual">
      <formula>0</formula>
    </cfRule>
  </conditionalFormatting>
  <conditionalFormatting sqref="E18:E19">
    <cfRule type="cellIs" dxfId="3046" priority="859" operator="equal">
      <formula>0</formula>
    </cfRule>
    <cfRule type="cellIs" dxfId="3045" priority="860" operator="notEqual">
      <formula>0</formula>
    </cfRule>
  </conditionalFormatting>
  <conditionalFormatting sqref="F18:F19">
    <cfRule type="cellIs" dxfId="3044" priority="857" operator="equal">
      <formula>0</formula>
    </cfRule>
    <cfRule type="cellIs" dxfId="3043" priority="858" operator="notEqual">
      <formula>0</formula>
    </cfRule>
  </conditionalFormatting>
  <conditionalFormatting sqref="G18:G19">
    <cfRule type="cellIs" dxfId="3042" priority="855" operator="equal">
      <formula>0</formula>
    </cfRule>
    <cfRule type="cellIs" dxfId="3041" priority="856" operator="notEqual">
      <formula>0</formula>
    </cfRule>
  </conditionalFormatting>
  <conditionalFormatting sqref="H18:H19">
    <cfRule type="cellIs" dxfId="3040" priority="853" operator="equal">
      <formula>0</formula>
    </cfRule>
    <cfRule type="cellIs" dxfId="3039" priority="854" operator="notEqual">
      <formula>0</formula>
    </cfRule>
  </conditionalFormatting>
  <conditionalFormatting sqref="I18:I19">
    <cfRule type="cellIs" dxfId="3038" priority="851" operator="equal">
      <formula>0</formula>
    </cfRule>
    <cfRule type="cellIs" dxfId="3037" priority="852" operator="notEqual">
      <formula>0</formula>
    </cfRule>
  </conditionalFormatting>
  <conditionalFormatting sqref="J18:J19">
    <cfRule type="cellIs" dxfId="3036" priority="849" operator="equal">
      <formula>0</formula>
    </cfRule>
    <cfRule type="cellIs" dxfId="3035" priority="850" operator="notEqual">
      <formula>0</formula>
    </cfRule>
  </conditionalFormatting>
  <conditionalFormatting sqref="O17">
    <cfRule type="cellIs" dxfId="3034" priority="847" operator="equal">
      <formula>0</formula>
    </cfRule>
    <cfRule type="cellIs" dxfId="3033" priority="848" operator="notEqual">
      <formula>0</formula>
    </cfRule>
  </conditionalFormatting>
  <conditionalFormatting sqref="O20">
    <cfRule type="cellIs" dxfId="3032" priority="845" operator="equal">
      <formula>0</formula>
    </cfRule>
    <cfRule type="cellIs" dxfId="3031" priority="846" operator="notEqual">
      <formula>0</formula>
    </cfRule>
  </conditionalFormatting>
  <conditionalFormatting sqref="P17">
    <cfRule type="cellIs" dxfId="3030" priority="843" operator="equal">
      <formula>0</formula>
    </cfRule>
    <cfRule type="cellIs" dxfId="3029" priority="844" operator="notEqual">
      <formula>0</formula>
    </cfRule>
  </conditionalFormatting>
  <conditionalFormatting sqref="P20">
    <cfRule type="cellIs" dxfId="3028" priority="841" operator="equal">
      <formula>0</formula>
    </cfRule>
    <cfRule type="cellIs" dxfId="3027" priority="842" operator="notEqual">
      <formula>0</formula>
    </cfRule>
  </conditionalFormatting>
  <conditionalFormatting sqref="Q17">
    <cfRule type="cellIs" dxfId="3026" priority="839" operator="equal">
      <formula>0</formula>
    </cfRule>
    <cfRule type="cellIs" dxfId="3025" priority="840" operator="notEqual">
      <formula>0</formula>
    </cfRule>
  </conditionalFormatting>
  <conditionalFormatting sqref="Q20">
    <cfRule type="cellIs" dxfId="3024" priority="837" operator="equal">
      <formula>0</formula>
    </cfRule>
    <cfRule type="cellIs" dxfId="3023" priority="838" operator="notEqual">
      <formula>0</formula>
    </cfRule>
  </conditionalFormatting>
  <conditionalFormatting sqref="R17">
    <cfRule type="cellIs" dxfId="3022" priority="835" operator="equal">
      <formula>0</formula>
    </cfRule>
    <cfRule type="cellIs" dxfId="3021" priority="836" operator="notEqual">
      <formula>0</formula>
    </cfRule>
  </conditionalFormatting>
  <conditionalFormatting sqref="R20">
    <cfRule type="cellIs" dxfId="3020" priority="833" operator="equal">
      <formula>0</formula>
    </cfRule>
    <cfRule type="cellIs" dxfId="3019" priority="834" operator="notEqual">
      <formula>0</formula>
    </cfRule>
  </conditionalFormatting>
  <conditionalFormatting sqref="C25:C26">
    <cfRule type="cellIs" dxfId="3018" priority="831" operator="equal">
      <formula>0</formula>
    </cfRule>
    <cfRule type="cellIs" dxfId="3017" priority="832" operator="notEqual">
      <formula>0</formula>
    </cfRule>
  </conditionalFormatting>
  <conditionalFormatting sqref="D25:D26">
    <cfRule type="cellIs" dxfId="3016" priority="829" operator="equal">
      <formula>0</formula>
    </cfRule>
    <cfRule type="cellIs" dxfId="3015" priority="830" operator="notEqual">
      <formula>0</formula>
    </cfRule>
  </conditionalFormatting>
  <conditionalFormatting sqref="E25:E26">
    <cfRule type="cellIs" dxfId="3014" priority="827" operator="equal">
      <formula>0</formula>
    </cfRule>
    <cfRule type="cellIs" dxfId="3013" priority="828" operator="notEqual">
      <formula>0</formula>
    </cfRule>
  </conditionalFormatting>
  <conditionalFormatting sqref="F25:F26">
    <cfRule type="cellIs" dxfId="3012" priority="825" operator="equal">
      <formula>0</formula>
    </cfRule>
    <cfRule type="cellIs" dxfId="3011" priority="826" operator="notEqual">
      <formula>0</formula>
    </cfRule>
  </conditionalFormatting>
  <conditionalFormatting sqref="G25:G26">
    <cfRule type="cellIs" dxfId="3010" priority="823" operator="equal">
      <formula>0</formula>
    </cfRule>
    <cfRule type="cellIs" dxfId="3009" priority="824" operator="notEqual">
      <formula>0</formula>
    </cfRule>
  </conditionalFormatting>
  <conditionalFormatting sqref="H25:H26">
    <cfRule type="cellIs" dxfId="3008" priority="821" operator="equal">
      <formula>0</formula>
    </cfRule>
    <cfRule type="cellIs" dxfId="3007" priority="822" operator="notEqual">
      <formula>0</formula>
    </cfRule>
  </conditionalFormatting>
  <conditionalFormatting sqref="I25:I26">
    <cfRule type="cellIs" dxfId="3006" priority="819" operator="equal">
      <formula>0</formula>
    </cfRule>
    <cfRule type="cellIs" dxfId="3005" priority="820" operator="notEqual">
      <formula>0</formula>
    </cfRule>
  </conditionalFormatting>
  <conditionalFormatting sqref="J25:J26">
    <cfRule type="cellIs" dxfId="3004" priority="817" operator="equal">
      <formula>0</formula>
    </cfRule>
    <cfRule type="cellIs" dxfId="3003" priority="818" operator="notEqual">
      <formula>0</formula>
    </cfRule>
  </conditionalFormatting>
  <conditionalFormatting sqref="O24">
    <cfRule type="cellIs" dxfId="3002" priority="815" operator="equal">
      <formula>0</formula>
    </cfRule>
    <cfRule type="cellIs" dxfId="3001" priority="816" operator="notEqual">
      <formula>0</formula>
    </cfRule>
  </conditionalFormatting>
  <conditionalFormatting sqref="O27">
    <cfRule type="cellIs" dxfId="3000" priority="813" operator="equal">
      <formula>0</formula>
    </cfRule>
    <cfRule type="cellIs" dxfId="2999" priority="814" operator="notEqual">
      <formula>0</formula>
    </cfRule>
  </conditionalFormatting>
  <conditionalFormatting sqref="P24">
    <cfRule type="cellIs" dxfId="2998" priority="811" operator="equal">
      <formula>0</formula>
    </cfRule>
    <cfRule type="cellIs" dxfId="2997" priority="812" operator="notEqual">
      <formula>0</formula>
    </cfRule>
  </conditionalFormatting>
  <conditionalFormatting sqref="P27">
    <cfRule type="cellIs" dxfId="2996" priority="809" operator="equal">
      <formula>0</formula>
    </cfRule>
    <cfRule type="cellIs" dxfId="2995" priority="810" operator="notEqual">
      <formula>0</formula>
    </cfRule>
  </conditionalFormatting>
  <conditionalFormatting sqref="Q24">
    <cfRule type="cellIs" dxfId="2994" priority="807" operator="equal">
      <formula>0</formula>
    </cfRule>
    <cfRule type="cellIs" dxfId="2993" priority="808" operator="notEqual">
      <formula>0</formula>
    </cfRule>
  </conditionalFormatting>
  <conditionalFormatting sqref="Q27">
    <cfRule type="cellIs" dxfId="2992" priority="805" operator="equal">
      <formula>0</formula>
    </cfRule>
    <cfRule type="cellIs" dxfId="2991" priority="806" operator="notEqual">
      <formula>0</formula>
    </cfRule>
  </conditionalFormatting>
  <conditionalFormatting sqref="R24">
    <cfRule type="cellIs" dxfId="2990" priority="803" operator="equal">
      <formula>0</formula>
    </cfRule>
    <cfRule type="cellIs" dxfId="2989" priority="804" operator="notEqual">
      <formula>0</formula>
    </cfRule>
  </conditionalFormatting>
  <conditionalFormatting sqref="R27">
    <cfRule type="cellIs" dxfId="2988" priority="801" operator="equal">
      <formula>0</formula>
    </cfRule>
    <cfRule type="cellIs" dxfId="2987" priority="802" operator="notEqual">
      <formula>0</formula>
    </cfRule>
  </conditionalFormatting>
  <conditionalFormatting sqref="C32:C33">
    <cfRule type="cellIs" dxfId="2986" priority="799" operator="equal">
      <formula>0</formula>
    </cfRule>
    <cfRule type="cellIs" dxfId="2985" priority="800" operator="notEqual">
      <formula>0</formula>
    </cfRule>
  </conditionalFormatting>
  <conditionalFormatting sqref="D32:D33">
    <cfRule type="cellIs" dxfId="2984" priority="797" operator="equal">
      <formula>0</formula>
    </cfRule>
    <cfRule type="cellIs" dxfId="2983" priority="798" operator="notEqual">
      <formula>0</formula>
    </cfRule>
  </conditionalFormatting>
  <conditionalFormatting sqref="E32:E33">
    <cfRule type="cellIs" dxfId="2982" priority="795" operator="equal">
      <formula>0</formula>
    </cfRule>
    <cfRule type="cellIs" dxfId="2981" priority="796" operator="notEqual">
      <formula>0</formula>
    </cfRule>
  </conditionalFormatting>
  <conditionalFormatting sqref="F32:F33">
    <cfRule type="cellIs" dxfId="2980" priority="793" operator="equal">
      <formula>0</formula>
    </cfRule>
    <cfRule type="cellIs" dxfId="2979" priority="794" operator="notEqual">
      <formula>0</formula>
    </cfRule>
  </conditionalFormatting>
  <conditionalFormatting sqref="G32:G33">
    <cfRule type="cellIs" dxfId="2978" priority="791" operator="equal">
      <formula>0</formula>
    </cfRule>
    <cfRule type="cellIs" dxfId="2977" priority="792" operator="notEqual">
      <formula>0</formula>
    </cfRule>
  </conditionalFormatting>
  <conditionalFormatting sqref="H32:H33">
    <cfRule type="cellIs" dxfId="2976" priority="789" operator="equal">
      <formula>0</formula>
    </cfRule>
    <cfRule type="cellIs" dxfId="2975" priority="790" operator="notEqual">
      <formula>0</formula>
    </cfRule>
  </conditionalFormatting>
  <conditionalFormatting sqref="I32:I33">
    <cfRule type="cellIs" dxfId="2974" priority="787" operator="equal">
      <formula>0</formula>
    </cfRule>
    <cfRule type="cellIs" dxfId="2973" priority="788" operator="notEqual">
      <formula>0</formula>
    </cfRule>
  </conditionalFormatting>
  <conditionalFormatting sqref="J32:J33">
    <cfRule type="cellIs" dxfId="2972" priority="785" operator="equal">
      <formula>0</formula>
    </cfRule>
    <cfRule type="cellIs" dxfId="2971" priority="786" operator="notEqual">
      <formula>0</formula>
    </cfRule>
  </conditionalFormatting>
  <conditionalFormatting sqref="O31">
    <cfRule type="cellIs" dxfId="2970" priority="783" operator="equal">
      <formula>0</formula>
    </cfRule>
    <cfRule type="cellIs" dxfId="2969" priority="784" operator="notEqual">
      <formula>0</formula>
    </cfRule>
  </conditionalFormatting>
  <conditionalFormatting sqref="O34">
    <cfRule type="cellIs" dxfId="2968" priority="781" operator="equal">
      <formula>0</formula>
    </cfRule>
    <cfRule type="cellIs" dxfId="2967" priority="782" operator="notEqual">
      <formula>0</formula>
    </cfRule>
  </conditionalFormatting>
  <conditionalFormatting sqref="P31">
    <cfRule type="cellIs" dxfId="2966" priority="779" operator="equal">
      <formula>0</formula>
    </cfRule>
    <cfRule type="cellIs" dxfId="2965" priority="780" operator="notEqual">
      <formula>0</formula>
    </cfRule>
  </conditionalFormatting>
  <conditionalFormatting sqref="P34">
    <cfRule type="cellIs" dxfId="2964" priority="777" operator="equal">
      <formula>0</formula>
    </cfRule>
    <cfRule type="cellIs" dxfId="2963" priority="778" operator="notEqual">
      <formula>0</formula>
    </cfRule>
  </conditionalFormatting>
  <conditionalFormatting sqref="Q31">
    <cfRule type="cellIs" dxfId="2962" priority="775" operator="equal">
      <formula>0</formula>
    </cfRule>
    <cfRule type="cellIs" dxfId="2961" priority="776" operator="notEqual">
      <formula>0</formula>
    </cfRule>
  </conditionalFormatting>
  <conditionalFormatting sqref="Q34">
    <cfRule type="cellIs" dxfId="2960" priority="773" operator="equal">
      <formula>0</formula>
    </cfRule>
    <cfRule type="cellIs" dxfId="2959" priority="774" operator="notEqual">
      <formula>0</formula>
    </cfRule>
  </conditionalFormatting>
  <conditionalFormatting sqref="R31">
    <cfRule type="cellIs" dxfId="2958" priority="771" operator="equal">
      <formula>0</formula>
    </cfRule>
    <cfRule type="cellIs" dxfId="2957" priority="772" operator="notEqual">
      <formula>0</formula>
    </cfRule>
  </conditionalFormatting>
  <conditionalFormatting sqref="R34">
    <cfRule type="cellIs" dxfId="2956" priority="769" operator="equal">
      <formula>0</formula>
    </cfRule>
    <cfRule type="cellIs" dxfId="2955" priority="770" operator="notEqual">
      <formula>0</formula>
    </cfRule>
  </conditionalFormatting>
  <conditionalFormatting sqref="C39:C40">
    <cfRule type="cellIs" dxfId="2954" priority="767" operator="equal">
      <formula>0</formula>
    </cfRule>
    <cfRule type="cellIs" dxfId="2953" priority="768" operator="notEqual">
      <formula>0</formula>
    </cfRule>
  </conditionalFormatting>
  <conditionalFormatting sqref="D39:D40">
    <cfRule type="cellIs" dxfId="2952" priority="765" operator="equal">
      <formula>0</formula>
    </cfRule>
    <cfRule type="cellIs" dxfId="2951" priority="766" operator="notEqual">
      <formula>0</formula>
    </cfRule>
  </conditionalFormatting>
  <conditionalFormatting sqref="E39:E40">
    <cfRule type="cellIs" dxfId="2950" priority="763" operator="equal">
      <formula>0</formula>
    </cfRule>
    <cfRule type="cellIs" dxfId="2949" priority="764" operator="notEqual">
      <formula>0</formula>
    </cfRule>
  </conditionalFormatting>
  <conditionalFormatting sqref="F39:F40">
    <cfRule type="cellIs" dxfId="2948" priority="761" operator="equal">
      <formula>0</formula>
    </cfRule>
    <cfRule type="cellIs" dxfId="2947" priority="762" operator="notEqual">
      <formula>0</formula>
    </cfRule>
  </conditionalFormatting>
  <conditionalFormatting sqref="G39:G40">
    <cfRule type="cellIs" dxfId="2946" priority="759" operator="equal">
      <formula>0</formula>
    </cfRule>
    <cfRule type="cellIs" dxfId="2945" priority="760" operator="notEqual">
      <formula>0</formula>
    </cfRule>
  </conditionalFormatting>
  <conditionalFormatting sqref="H39:H40">
    <cfRule type="cellIs" dxfId="2944" priority="757" operator="equal">
      <formula>0</formula>
    </cfRule>
    <cfRule type="cellIs" dxfId="2943" priority="758" operator="notEqual">
      <formula>0</formula>
    </cfRule>
  </conditionalFormatting>
  <conditionalFormatting sqref="I39:I40">
    <cfRule type="cellIs" dxfId="2942" priority="755" operator="equal">
      <formula>0</formula>
    </cfRule>
    <cfRule type="cellIs" dxfId="2941" priority="756" operator="notEqual">
      <formula>0</formula>
    </cfRule>
  </conditionalFormatting>
  <conditionalFormatting sqref="J39:J40">
    <cfRule type="cellIs" dxfId="2940" priority="753" operator="equal">
      <formula>0</formula>
    </cfRule>
    <cfRule type="cellIs" dxfId="2939" priority="754" operator="notEqual">
      <formula>0</formula>
    </cfRule>
  </conditionalFormatting>
  <conditionalFormatting sqref="O38">
    <cfRule type="cellIs" dxfId="2938" priority="751" operator="equal">
      <formula>0</formula>
    </cfRule>
    <cfRule type="cellIs" dxfId="2937" priority="752" operator="notEqual">
      <formula>0</formula>
    </cfRule>
  </conditionalFormatting>
  <conditionalFormatting sqref="O41">
    <cfRule type="cellIs" dxfId="2936" priority="749" operator="equal">
      <formula>0</formula>
    </cfRule>
    <cfRule type="cellIs" dxfId="2935" priority="750" operator="notEqual">
      <formula>0</formula>
    </cfRule>
  </conditionalFormatting>
  <conditionalFormatting sqref="P38">
    <cfRule type="cellIs" dxfId="2934" priority="747" operator="equal">
      <formula>0</formula>
    </cfRule>
    <cfRule type="cellIs" dxfId="2933" priority="748" operator="notEqual">
      <formula>0</formula>
    </cfRule>
  </conditionalFormatting>
  <conditionalFormatting sqref="P41">
    <cfRule type="cellIs" dxfId="2932" priority="745" operator="equal">
      <formula>0</formula>
    </cfRule>
    <cfRule type="cellIs" dxfId="2931" priority="746" operator="notEqual">
      <formula>0</formula>
    </cfRule>
  </conditionalFormatting>
  <conditionalFormatting sqref="Q38">
    <cfRule type="cellIs" dxfId="2930" priority="743" operator="equal">
      <formula>0</formula>
    </cfRule>
    <cfRule type="cellIs" dxfId="2929" priority="744" operator="notEqual">
      <formula>0</formula>
    </cfRule>
  </conditionalFormatting>
  <conditionalFormatting sqref="Q41">
    <cfRule type="cellIs" dxfId="2928" priority="741" operator="equal">
      <formula>0</formula>
    </cfRule>
    <cfRule type="cellIs" dxfId="2927" priority="742" operator="notEqual">
      <formula>0</formula>
    </cfRule>
  </conditionalFormatting>
  <conditionalFormatting sqref="R38">
    <cfRule type="cellIs" dxfId="2926" priority="739" operator="equal">
      <formula>0</formula>
    </cfRule>
    <cfRule type="cellIs" dxfId="2925" priority="740" operator="notEqual">
      <formula>0</formula>
    </cfRule>
  </conditionalFormatting>
  <conditionalFormatting sqref="R41">
    <cfRule type="cellIs" dxfId="2924" priority="737" operator="equal">
      <formula>0</formula>
    </cfRule>
    <cfRule type="cellIs" dxfId="2923" priority="738" operator="notEqual">
      <formula>0</formula>
    </cfRule>
  </conditionalFormatting>
  <conditionalFormatting sqref="C46:C47">
    <cfRule type="cellIs" dxfId="2922" priority="735" operator="equal">
      <formula>0</formula>
    </cfRule>
    <cfRule type="cellIs" dxfId="2921" priority="736" operator="notEqual">
      <formula>0</formula>
    </cfRule>
  </conditionalFormatting>
  <conditionalFormatting sqref="D46:D47">
    <cfRule type="cellIs" dxfId="2920" priority="733" operator="equal">
      <formula>0</formula>
    </cfRule>
    <cfRule type="cellIs" dxfId="2919" priority="734" operator="notEqual">
      <formula>0</formula>
    </cfRule>
  </conditionalFormatting>
  <conditionalFormatting sqref="E46:E47">
    <cfRule type="cellIs" dxfId="2918" priority="731" operator="equal">
      <formula>0</formula>
    </cfRule>
    <cfRule type="cellIs" dxfId="2917" priority="732" operator="notEqual">
      <formula>0</formula>
    </cfRule>
  </conditionalFormatting>
  <conditionalFormatting sqref="F46:F47">
    <cfRule type="cellIs" dxfId="2916" priority="729" operator="equal">
      <formula>0</formula>
    </cfRule>
    <cfRule type="cellIs" dxfId="2915" priority="730" operator="notEqual">
      <formula>0</formula>
    </cfRule>
  </conditionalFormatting>
  <conditionalFormatting sqref="G46:G47">
    <cfRule type="cellIs" dxfId="2914" priority="727" operator="equal">
      <formula>0</formula>
    </cfRule>
    <cfRule type="cellIs" dxfId="2913" priority="728" operator="notEqual">
      <formula>0</formula>
    </cfRule>
  </conditionalFormatting>
  <conditionalFormatting sqref="H46:H47">
    <cfRule type="cellIs" dxfId="2912" priority="725" operator="equal">
      <formula>0</formula>
    </cfRule>
    <cfRule type="cellIs" dxfId="2911" priority="726" operator="notEqual">
      <formula>0</formula>
    </cfRule>
  </conditionalFormatting>
  <conditionalFormatting sqref="I46:I47">
    <cfRule type="cellIs" dxfId="2910" priority="723" operator="equal">
      <formula>0</formula>
    </cfRule>
    <cfRule type="cellIs" dxfId="2909" priority="724" operator="notEqual">
      <formula>0</formula>
    </cfRule>
  </conditionalFormatting>
  <conditionalFormatting sqref="J46:J47">
    <cfRule type="cellIs" dxfId="2908" priority="721" operator="equal">
      <formula>0</formula>
    </cfRule>
    <cfRule type="cellIs" dxfId="2907" priority="722" operator="notEqual">
      <formula>0</formula>
    </cfRule>
  </conditionalFormatting>
  <conditionalFormatting sqref="O45">
    <cfRule type="cellIs" dxfId="2906" priority="719" operator="equal">
      <formula>0</formula>
    </cfRule>
    <cfRule type="cellIs" dxfId="2905" priority="720" operator="notEqual">
      <formula>0</formula>
    </cfRule>
  </conditionalFormatting>
  <conditionalFormatting sqref="O48">
    <cfRule type="cellIs" dxfId="2904" priority="717" operator="equal">
      <formula>0</formula>
    </cfRule>
    <cfRule type="cellIs" dxfId="2903" priority="718" operator="notEqual">
      <formula>0</formula>
    </cfRule>
  </conditionalFormatting>
  <conditionalFormatting sqref="P45">
    <cfRule type="cellIs" dxfId="2902" priority="715" operator="equal">
      <formula>0</formula>
    </cfRule>
    <cfRule type="cellIs" dxfId="2901" priority="716" operator="notEqual">
      <formula>0</formula>
    </cfRule>
  </conditionalFormatting>
  <conditionalFormatting sqref="P48">
    <cfRule type="cellIs" dxfId="2900" priority="713" operator="equal">
      <formula>0</formula>
    </cfRule>
    <cfRule type="cellIs" dxfId="2899" priority="714" operator="notEqual">
      <formula>0</formula>
    </cfRule>
  </conditionalFormatting>
  <conditionalFormatting sqref="Q45">
    <cfRule type="cellIs" dxfId="2898" priority="711" operator="equal">
      <formula>0</formula>
    </cfRule>
    <cfRule type="cellIs" dxfId="2897" priority="712" operator="notEqual">
      <formula>0</formula>
    </cfRule>
  </conditionalFormatting>
  <conditionalFormatting sqref="Q48">
    <cfRule type="cellIs" dxfId="2896" priority="709" operator="equal">
      <formula>0</formula>
    </cfRule>
    <cfRule type="cellIs" dxfId="2895" priority="710" operator="notEqual">
      <formula>0</formula>
    </cfRule>
  </conditionalFormatting>
  <conditionalFormatting sqref="R45">
    <cfRule type="cellIs" dxfId="2894" priority="707" operator="equal">
      <formula>0</formula>
    </cfRule>
    <cfRule type="cellIs" dxfId="2893" priority="708" operator="notEqual">
      <formula>0</formula>
    </cfRule>
  </conditionalFormatting>
  <conditionalFormatting sqref="R48">
    <cfRule type="cellIs" dxfId="2892" priority="705" operator="equal">
      <formula>0</formula>
    </cfRule>
    <cfRule type="cellIs" dxfId="2891" priority="706" operator="notEqual">
      <formula>0</formula>
    </cfRule>
  </conditionalFormatting>
  <conditionalFormatting sqref="C53:C54">
    <cfRule type="cellIs" dxfId="2890" priority="703" operator="equal">
      <formula>0</formula>
    </cfRule>
    <cfRule type="cellIs" dxfId="2889" priority="704" operator="notEqual">
      <formula>0</formula>
    </cfRule>
  </conditionalFormatting>
  <conditionalFormatting sqref="D53:D54">
    <cfRule type="cellIs" dxfId="2888" priority="701" operator="equal">
      <formula>0</formula>
    </cfRule>
    <cfRule type="cellIs" dxfId="2887" priority="702" operator="notEqual">
      <formula>0</formula>
    </cfRule>
  </conditionalFormatting>
  <conditionalFormatting sqref="E53:E54">
    <cfRule type="cellIs" dxfId="2886" priority="699" operator="equal">
      <formula>0</formula>
    </cfRule>
    <cfRule type="cellIs" dxfId="2885" priority="700" operator="notEqual">
      <formula>0</formula>
    </cfRule>
  </conditionalFormatting>
  <conditionalFormatting sqref="F53:F54">
    <cfRule type="cellIs" dxfId="2884" priority="697" operator="equal">
      <formula>0</formula>
    </cfRule>
    <cfRule type="cellIs" dxfId="2883" priority="698" operator="notEqual">
      <formula>0</formula>
    </cfRule>
  </conditionalFormatting>
  <conditionalFormatting sqref="G53:G54">
    <cfRule type="cellIs" dxfId="2882" priority="695" operator="equal">
      <formula>0</formula>
    </cfRule>
    <cfRule type="cellIs" dxfId="2881" priority="696" operator="notEqual">
      <formula>0</formula>
    </cfRule>
  </conditionalFormatting>
  <conditionalFormatting sqref="H53:H54">
    <cfRule type="cellIs" dxfId="2880" priority="693" operator="equal">
      <formula>0</formula>
    </cfRule>
    <cfRule type="cellIs" dxfId="2879" priority="694" operator="notEqual">
      <formula>0</formula>
    </cfRule>
  </conditionalFormatting>
  <conditionalFormatting sqref="I53:I54">
    <cfRule type="cellIs" dxfId="2878" priority="691" operator="equal">
      <formula>0</formula>
    </cfRule>
    <cfRule type="cellIs" dxfId="2877" priority="692" operator="notEqual">
      <formula>0</formula>
    </cfRule>
  </conditionalFormatting>
  <conditionalFormatting sqref="J53:J54">
    <cfRule type="cellIs" dxfId="2876" priority="689" operator="equal">
      <formula>0</formula>
    </cfRule>
    <cfRule type="cellIs" dxfId="2875" priority="690" operator="notEqual">
      <formula>0</formula>
    </cfRule>
  </conditionalFormatting>
  <conditionalFormatting sqref="O52">
    <cfRule type="cellIs" dxfId="2874" priority="687" operator="equal">
      <formula>0</formula>
    </cfRule>
    <cfRule type="cellIs" dxfId="2873" priority="688" operator="notEqual">
      <formula>0</formula>
    </cfRule>
  </conditionalFormatting>
  <conditionalFormatting sqref="O55">
    <cfRule type="cellIs" dxfId="2872" priority="685" operator="equal">
      <formula>0</formula>
    </cfRule>
    <cfRule type="cellIs" dxfId="2871" priority="686" operator="notEqual">
      <formula>0</formula>
    </cfRule>
  </conditionalFormatting>
  <conditionalFormatting sqref="P52">
    <cfRule type="cellIs" dxfId="2870" priority="683" operator="equal">
      <formula>0</formula>
    </cfRule>
    <cfRule type="cellIs" dxfId="2869" priority="684" operator="notEqual">
      <formula>0</formula>
    </cfRule>
  </conditionalFormatting>
  <conditionalFormatting sqref="P55">
    <cfRule type="cellIs" dxfId="2868" priority="681" operator="equal">
      <formula>0</formula>
    </cfRule>
    <cfRule type="cellIs" dxfId="2867" priority="682" operator="notEqual">
      <formula>0</formula>
    </cfRule>
  </conditionalFormatting>
  <conditionalFormatting sqref="Q52">
    <cfRule type="cellIs" dxfId="2866" priority="679" operator="equal">
      <formula>0</formula>
    </cfRule>
    <cfRule type="cellIs" dxfId="2865" priority="680" operator="notEqual">
      <formula>0</formula>
    </cfRule>
  </conditionalFormatting>
  <conditionalFormatting sqref="Q55">
    <cfRule type="cellIs" dxfId="2864" priority="677" operator="equal">
      <formula>0</formula>
    </cfRule>
    <cfRule type="cellIs" dxfId="2863" priority="678" operator="notEqual">
      <formula>0</formula>
    </cfRule>
  </conditionalFormatting>
  <conditionalFormatting sqref="R52">
    <cfRule type="cellIs" dxfId="2862" priority="675" operator="equal">
      <formula>0</formula>
    </cfRule>
    <cfRule type="cellIs" dxfId="2861" priority="676" operator="notEqual">
      <formula>0</formula>
    </cfRule>
  </conditionalFormatting>
  <conditionalFormatting sqref="R55">
    <cfRule type="cellIs" dxfId="2860" priority="673" operator="equal">
      <formula>0</formula>
    </cfRule>
    <cfRule type="cellIs" dxfId="2859" priority="674" operator="notEqual">
      <formula>0</formula>
    </cfRule>
  </conditionalFormatting>
  <conditionalFormatting sqref="C60:C61">
    <cfRule type="cellIs" dxfId="2858" priority="671" operator="equal">
      <formula>0</formula>
    </cfRule>
    <cfRule type="cellIs" dxfId="2857" priority="672" operator="notEqual">
      <formula>0</formula>
    </cfRule>
  </conditionalFormatting>
  <conditionalFormatting sqref="D60:D61">
    <cfRule type="cellIs" dxfId="2856" priority="669" operator="equal">
      <formula>0</formula>
    </cfRule>
    <cfRule type="cellIs" dxfId="2855" priority="670" operator="notEqual">
      <formula>0</formula>
    </cfRule>
  </conditionalFormatting>
  <conditionalFormatting sqref="E60:E61">
    <cfRule type="cellIs" dxfId="2854" priority="667" operator="equal">
      <formula>0</formula>
    </cfRule>
    <cfRule type="cellIs" dxfId="2853" priority="668" operator="notEqual">
      <formula>0</formula>
    </cfRule>
  </conditionalFormatting>
  <conditionalFormatting sqref="F60:F61">
    <cfRule type="cellIs" dxfId="2852" priority="665" operator="equal">
      <formula>0</formula>
    </cfRule>
    <cfRule type="cellIs" dxfId="2851" priority="666" operator="notEqual">
      <formula>0</formula>
    </cfRule>
  </conditionalFormatting>
  <conditionalFormatting sqref="G60:G61">
    <cfRule type="cellIs" dxfId="2850" priority="663" operator="equal">
      <formula>0</formula>
    </cfRule>
    <cfRule type="cellIs" dxfId="2849" priority="664" operator="notEqual">
      <formula>0</formula>
    </cfRule>
  </conditionalFormatting>
  <conditionalFormatting sqref="H60:H61">
    <cfRule type="cellIs" dxfId="2848" priority="661" operator="equal">
      <formula>0</formula>
    </cfRule>
    <cfRule type="cellIs" dxfId="2847" priority="662" operator="notEqual">
      <formula>0</formula>
    </cfRule>
  </conditionalFormatting>
  <conditionalFormatting sqref="I60:I61">
    <cfRule type="cellIs" dxfId="2846" priority="659" operator="equal">
      <formula>0</formula>
    </cfRule>
    <cfRule type="cellIs" dxfId="2845" priority="660" operator="notEqual">
      <formula>0</formula>
    </cfRule>
  </conditionalFormatting>
  <conditionalFormatting sqref="J60:J61">
    <cfRule type="cellIs" dxfId="2844" priority="657" operator="equal">
      <formula>0</formula>
    </cfRule>
    <cfRule type="cellIs" dxfId="2843" priority="658" operator="notEqual">
      <formula>0</formula>
    </cfRule>
  </conditionalFormatting>
  <conditionalFormatting sqref="O59">
    <cfRule type="cellIs" dxfId="2842" priority="655" operator="equal">
      <formula>0</formula>
    </cfRule>
    <cfRule type="cellIs" dxfId="2841" priority="656" operator="notEqual">
      <formula>0</formula>
    </cfRule>
  </conditionalFormatting>
  <conditionalFormatting sqref="O62">
    <cfRule type="cellIs" dxfId="2840" priority="653" operator="equal">
      <formula>0</formula>
    </cfRule>
    <cfRule type="cellIs" dxfId="2839" priority="654" operator="notEqual">
      <formula>0</formula>
    </cfRule>
  </conditionalFormatting>
  <conditionalFormatting sqref="P59">
    <cfRule type="cellIs" dxfId="2838" priority="651" operator="equal">
      <formula>0</formula>
    </cfRule>
    <cfRule type="cellIs" dxfId="2837" priority="652" operator="notEqual">
      <formula>0</formula>
    </cfRule>
  </conditionalFormatting>
  <conditionalFormatting sqref="P62">
    <cfRule type="cellIs" dxfId="2836" priority="649" operator="equal">
      <formula>0</formula>
    </cfRule>
    <cfRule type="cellIs" dxfId="2835" priority="650" operator="notEqual">
      <formula>0</formula>
    </cfRule>
  </conditionalFormatting>
  <conditionalFormatting sqref="Q59">
    <cfRule type="cellIs" dxfId="2834" priority="647" operator="equal">
      <formula>0</formula>
    </cfRule>
    <cfRule type="cellIs" dxfId="2833" priority="648" operator="notEqual">
      <formula>0</formula>
    </cfRule>
  </conditionalFormatting>
  <conditionalFormatting sqref="Q62">
    <cfRule type="cellIs" dxfId="2832" priority="645" operator="equal">
      <formula>0</formula>
    </cfRule>
    <cfRule type="cellIs" dxfId="2831" priority="646" operator="notEqual">
      <formula>0</formula>
    </cfRule>
  </conditionalFormatting>
  <conditionalFormatting sqref="R59">
    <cfRule type="cellIs" dxfId="2830" priority="643" operator="equal">
      <formula>0</formula>
    </cfRule>
    <cfRule type="cellIs" dxfId="2829" priority="644" operator="notEqual">
      <formula>0</formula>
    </cfRule>
  </conditionalFormatting>
  <conditionalFormatting sqref="R62">
    <cfRule type="cellIs" dxfId="2828" priority="641" operator="equal">
      <formula>0</formula>
    </cfRule>
    <cfRule type="cellIs" dxfId="2827" priority="642" operator="notEqual">
      <formula>0</formula>
    </cfRule>
  </conditionalFormatting>
  <conditionalFormatting sqref="C67:C68">
    <cfRule type="cellIs" dxfId="2826" priority="639" operator="equal">
      <formula>0</formula>
    </cfRule>
    <cfRule type="cellIs" dxfId="2825" priority="640" operator="notEqual">
      <formula>0</formula>
    </cfRule>
  </conditionalFormatting>
  <conditionalFormatting sqref="D67:D68">
    <cfRule type="cellIs" dxfId="2824" priority="637" operator="equal">
      <formula>0</formula>
    </cfRule>
    <cfRule type="cellIs" dxfId="2823" priority="638" operator="notEqual">
      <formula>0</formula>
    </cfRule>
  </conditionalFormatting>
  <conditionalFormatting sqref="E67:E68">
    <cfRule type="cellIs" dxfId="2822" priority="635" operator="equal">
      <formula>0</formula>
    </cfRule>
    <cfRule type="cellIs" dxfId="2821" priority="636" operator="notEqual">
      <formula>0</formula>
    </cfRule>
  </conditionalFormatting>
  <conditionalFormatting sqref="F67:F68">
    <cfRule type="cellIs" dxfId="2820" priority="633" operator="equal">
      <formula>0</formula>
    </cfRule>
    <cfRule type="cellIs" dxfId="2819" priority="634" operator="notEqual">
      <formula>0</formula>
    </cfRule>
  </conditionalFormatting>
  <conditionalFormatting sqref="G67:G68">
    <cfRule type="cellIs" dxfId="2818" priority="631" operator="equal">
      <formula>0</formula>
    </cfRule>
    <cfRule type="cellIs" dxfId="2817" priority="632" operator="notEqual">
      <formula>0</formula>
    </cfRule>
  </conditionalFormatting>
  <conditionalFormatting sqref="H67:H68">
    <cfRule type="cellIs" dxfId="2816" priority="629" operator="equal">
      <formula>0</formula>
    </cfRule>
    <cfRule type="cellIs" dxfId="2815" priority="630" operator="notEqual">
      <formula>0</formula>
    </cfRule>
  </conditionalFormatting>
  <conditionalFormatting sqref="I67:I68">
    <cfRule type="cellIs" dxfId="2814" priority="627" operator="equal">
      <formula>0</formula>
    </cfRule>
    <cfRule type="cellIs" dxfId="2813" priority="628" operator="notEqual">
      <formula>0</formula>
    </cfRule>
  </conditionalFormatting>
  <conditionalFormatting sqref="J67:J68">
    <cfRule type="cellIs" dxfId="2812" priority="625" operator="equal">
      <formula>0</formula>
    </cfRule>
    <cfRule type="cellIs" dxfId="2811" priority="626" operator="notEqual">
      <formula>0</formula>
    </cfRule>
  </conditionalFormatting>
  <conditionalFormatting sqref="O66">
    <cfRule type="cellIs" dxfId="2810" priority="623" operator="equal">
      <formula>0</formula>
    </cfRule>
    <cfRule type="cellIs" dxfId="2809" priority="624" operator="notEqual">
      <formula>0</formula>
    </cfRule>
  </conditionalFormatting>
  <conditionalFormatting sqref="O69">
    <cfRule type="cellIs" dxfId="2808" priority="621" operator="equal">
      <formula>0</formula>
    </cfRule>
    <cfRule type="cellIs" dxfId="2807" priority="622" operator="notEqual">
      <formula>0</formula>
    </cfRule>
  </conditionalFormatting>
  <conditionalFormatting sqref="P66">
    <cfRule type="cellIs" dxfId="2806" priority="619" operator="equal">
      <formula>0</formula>
    </cfRule>
    <cfRule type="cellIs" dxfId="2805" priority="620" operator="notEqual">
      <formula>0</formula>
    </cfRule>
  </conditionalFormatting>
  <conditionalFormatting sqref="P69">
    <cfRule type="cellIs" dxfId="2804" priority="617" operator="equal">
      <formula>0</formula>
    </cfRule>
    <cfRule type="cellIs" dxfId="2803" priority="618" operator="notEqual">
      <formula>0</formula>
    </cfRule>
  </conditionalFormatting>
  <conditionalFormatting sqref="Q66">
    <cfRule type="cellIs" dxfId="2802" priority="615" operator="equal">
      <formula>0</formula>
    </cfRule>
    <cfRule type="cellIs" dxfId="2801" priority="616" operator="notEqual">
      <formula>0</formula>
    </cfRule>
  </conditionalFormatting>
  <conditionalFormatting sqref="Q69">
    <cfRule type="cellIs" dxfId="2800" priority="613" operator="equal">
      <formula>0</formula>
    </cfRule>
    <cfRule type="cellIs" dxfId="2799" priority="614" operator="notEqual">
      <formula>0</formula>
    </cfRule>
  </conditionalFormatting>
  <conditionalFormatting sqref="R66">
    <cfRule type="cellIs" dxfId="2798" priority="611" operator="equal">
      <formula>0</formula>
    </cfRule>
    <cfRule type="cellIs" dxfId="2797" priority="612" operator="notEqual">
      <formula>0</formula>
    </cfRule>
  </conditionalFormatting>
  <conditionalFormatting sqref="R69">
    <cfRule type="cellIs" dxfId="2796" priority="609" operator="equal">
      <formula>0</formula>
    </cfRule>
    <cfRule type="cellIs" dxfId="2795" priority="610" operator="notEqual">
      <formula>0</formula>
    </cfRule>
  </conditionalFormatting>
  <conditionalFormatting sqref="C74:C75">
    <cfRule type="cellIs" dxfId="2794" priority="607" operator="equal">
      <formula>0</formula>
    </cfRule>
    <cfRule type="cellIs" dxfId="2793" priority="608" operator="notEqual">
      <formula>0</formula>
    </cfRule>
  </conditionalFormatting>
  <conditionalFormatting sqref="D74:D75">
    <cfRule type="cellIs" dxfId="2792" priority="605" operator="equal">
      <formula>0</formula>
    </cfRule>
    <cfRule type="cellIs" dxfId="2791" priority="606" operator="notEqual">
      <formula>0</formula>
    </cfRule>
  </conditionalFormatting>
  <conditionalFormatting sqref="E74:E75">
    <cfRule type="cellIs" dxfId="2790" priority="603" operator="equal">
      <formula>0</formula>
    </cfRule>
    <cfRule type="cellIs" dxfId="2789" priority="604" operator="notEqual">
      <formula>0</formula>
    </cfRule>
  </conditionalFormatting>
  <conditionalFormatting sqref="F74:F75">
    <cfRule type="cellIs" dxfId="2788" priority="601" operator="equal">
      <formula>0</formula>
    </cfRule>
    <cfRule type="cellIs" dxfId="2787" priority="602" operator="notEqual">
      <formula>0</formula>
    </cfRule>
  </conditionalFormatting>
  <conditionalFormatting sqref="G74:G75">
    <cfRule type="cellIs" dxfId="2786" priority="599" operator="equal">
      <formula>0</formula>
    </cfRule>
    <cfRule type="cellIs" dxfId="2785" priority="600" operator="notEqual">
      <formula>0</formula>
    </cfRule>
  </conditionalFormatting>
  <conditionalFormatting sqref="H74:H75">
    <cfRule type="cellIs" dxfId="2784" priority="597" operator="equal">
      <formula>0</formula>
    </cfRule>
    <cfRule type="cellIs" dxfId="2783" priority="598" operator="notEqual">
      <formula>0</formula>
    </cfRule>
  </conditionalFormatting>
  <conditionalFormatting sqref="I74:I75">
    <cfRule type="cellIs" dxfId="2782" priority="595" operator="equal">
      <formula>0</formula>
    </cfRule>
    <cfRule type="cellIs" dxfId="2781" priority="596" operator="notEqual">
      <formula>0</formula>
    </cfRule>
  </conditionalFormatting>
  <conditionalFormatting sqref="J74:J75">
    <cfRule type="cellIs" dxfId="2780" priority="593" operator="equal">
      <formula>0</formula>
    </cfRule>
    <cfRule type="cellIs" dxfId="2779" priority="594" operator="notEqual">
      <formula>0</formula>
    </cfRule>
  </conditionalFormatting>
  <conditionalFormatting sqref="O73">
    <cfRule type="cellIs" dxfId="2778" priority="591" operator="equal">
      <formula>0</formula>
    </cfRule>
    <cfRule type="cellIs" dxfId="2777" priority="592" operator="notEqual">
      <formula>0</formula>
    </cfRule>
  </conditionalFormatting>
  <conditionalFormatting sqref="O76">
    <cfRule type="cellIs" dxfId="2776" priority="589" operator="equal">
      <formula>0</formula>
    </cfRule>
    <cfRule type="cellIs" dxfId="2775" priority="590" operator="notEqual">
      <formula>0</formula>
    </cfRule>
  </conditionalFormatting>
  <conditionalFormatting sqref="P73">
    <cfRule type="cellIs" dxfId="2774" priority="587" operator="equal">
      <formula>0</formula>
    </cfRule>
    <cfRule type="cellIs" dxfId="2773" priority="588" operator="notEqual">
      <formula>0</formula>
    </cfRule>
  </conditionalFormatting>
  <conditionalFormatting sqref="P76">
    <cfRule type="cellIs" dxfId="2772" priority="585" operator="equal">
      <formula>0</formula>
    </cfRule>
    <cfRule type="cellIs" dxfId="2771" priority="586" operator="notEqual">
      <formula>0</formula>
    </cfRule>
  </conditionalFormatting>
  <conditionalFormatting sqref="Q73">
    <cfRule type="cellIs" dxfId="2770" priority="583" operator="equal">
      <formula>0</formula>
    </cfRule>
    <cfRule type="cellIs" dxfId="2769" priority="584" operator="notEqual">
      <formula>0</formula>
    </cfRule>
  </conditionalFormatting>
  <conditionalFormatting sqref="Q76">
    <cfRule type="cellIs" dxfId="2768" priority="581" operator="equal">
      <formula>0</formula>
    </cfRule>
    <cfRule type="cellIs" dxfId="2767" priority="582" operator="notEqual">
      <formula>0</formula>
    </cfRule>
  </conditionalFormatting>
  <conditionalFormatting sqref="R73">
    <cfRule type="cellIs" dxfId="2766" priority="579" operator="equal">
      <formula>0</formula>
    </cfRule>
    <cfRule type="cellIs" dxfId="2765" priority="580" operator="notEqual">
      <formula>0</formula>
    </cfRule>
  </conditionalFormatting>
  <conditionalFormatting sqref="R76">
    <cfRule type="cellIs" dxfId="2764" priority="577" operator="equal">
      <formula>0</formula>
    </cfRule>
    <cfRule type="cellIs" dxfId="2763" priority="578" operator="notEqual">
      <formula>0</formula>
    </cfRule>
  </conditionalFormatting>
  <conditionalFormatting sqref="U67:U68">
    <cfRule type="cellIs" dxfId="2762" priority="575" operator="equal">
      <formula>0</formula>
    </cfRule>
    <cfRule type="cellIs" dxfId="2761" priority="576" operator="notEqual">
      <formula>0</formula>
    </cfRule>
  </conditionalFormatting>
  <conditionalFormatting sqref="V67:V68">
    <cfRule type="cellIs" dxfId="2760" priority="573" operator="equal">
      <formula>0</formula>
    </cfRule>
    <cfRule type="cellIs" dxfId="2759" priority="574" operator="notEqual">
      <formula>0</formula>
    </cfRule>
  </conditionalFormatting>
  <conditionalFormatting sqref="W67:W68">
    <cfRule type="cellIs" dxfId="2758" priority="571" operator="equal">
      <formula>0</formula>
    </cfRule>
    <cfRule type="cellIs" dxfId="2757" priority="572" operator="notEqual">
      <formula>0</formula>
    </cfRule>
  </conditionalFormatting>
  <conditionalFormatting sqref="X67:X68">
    <cfRule type="cellIs" dxfId="2756" priority="569" operator="equal">
      <formula>0</formula>
    </cfRule>
    <cfRule type="cellIs" dxfId="2755" priority="570" operator="notEqual">
      <formula>0</formula>
    </cfRule>
  </conditionalFormatting>
  <conditionalFormatting sqref="Y67:Y68">
    <cfRule type="cellIs" dxfId="2754" priority="567" operator="equal">
      <formula>0</formula>
    </cfRule>
    <cfRule type="cellIs" dxfId="2753" priority="568" operator="notEqual">
      <formula>0</formula>
    </cfRule>
  </conditionalFormatting>
  <conditionalFormatting sqref="Z67:Z68">
    <cfRule type="cellIs" dxfId="2752" priority="565" operator="equal">
      <formula>0</formula>
    </cfRule>
    <cfRule type="cellIs" dxfId="2751" priority="566" operator="notEqual">
      <formula>0</formula>
    </cfRule>
  </conditionalFormatting>
  <conditionalFormatting sqref="AA67:AA68">
    <cfRule type="cellIs" dxfId="2750" priority="563" operator="equal">
      <formula>0</formula>
    </cfRule>
    <cfRule type="cellIs" dxfId="2749" priority="564" operator="notEqual">
      <formula>0</formula>
    </cfRule>
  </conditionalFormatting>
  <conditionalFormatting sqref="AB67:AB68">
    <cfRule type="cellIs" dxfId="2748" priority="561" operator="equal">
      <formula>0</formula>
    </cfRule>
    <cfRule type="cellIs" dxfId="2747" priority="562" operator="notEqual">
      <formula>0</formula>
    </cfRule>
  </conditionalFormatting>
  <conditionalFormatting sqref="AG66">
    <cfRule type="cellIs" dxfId="2746" priority="559" operator="equal">
      <formula>0</formula>
    </cfRule>
    <cfRule type="cellIs" dxfId="2745" priority="560" operator="notEqual">
      <formula>0</formula>
    </cfRule>
  </conditionalFormatting>
  <conditionalFormatting sqref="AG69">
    <cfRule type="cellIs" dxfId="2744" priority="557" operator="equal">
      <formula>0</formula>
    </cfRule>
    <cfRule type="cellIs" dxfId="2743" priority="558" operator="notEqual">
      <formula>0</formula>
    </cfRule>
  </conditionalFormatting>
  <conditionalFormatting sqref="AH66">
    <cfRule type="cellIs" dxfId="2742" priority="555" operator="equal">
      <formula>0</formula>
    </cfRule>
    <cfRule type="cellIs" dxfId="2741" priority="556" operator="notEqual">
      <formula>0</formula>
    </cfRule>
  </conditionalFormatting>
  <conditionalFormatting sqref="AH69">
    <cfRule type="cellIs" dxfId="2740" priority="553" operator="equal">
      <formula>0</formula>
    </cfRule>
    <cfRule type="cellIs" dxfId="2739" priority="554" operator="notEqual">
      <formula>0</formula>
    </cfRule>
  </conditionalFormatting>
  <conditionalFormatting sqref="AI66">
    <cfRule type="cellIs" dxfId="2738" priority="551" operator="equal">
      <formula>0</formula>
    </cfRule>
    <cfRule type="cellIs" dxfId="2737" priority="552" operator="notEqual">
      <formula>0</formula>
    </cfRule>
  </conditionalFormatting>
  <conditionalFormatting sqref="AI69">
    <cfRule type="cellIs" dxfId="2736" priority="549" operator="equal">
      <formula>0</formula>
    </cfRule>
    <cfRule type="cellIs" dxfId="2735" priority="550" operator="notEqual">
      <formula>0</formula>
    </cfRule>
  </conditionalFormatting>
  <conditionalFormatting sqref="AJ66">
    <cfRule type="cellIs" dxfId="2734" priority="547" operator="equal">
      <formula>0</formula>
    </cfRule>
    <cfRule type="cellIs" dxfId="2733" priority="548" operator="notEqual">
      <formula>0</formula>
    </cfRule>
  </conditionalFormatting>
  <conditionalFormatting sqref="AJ69">
    <cfRule type="cellIs" dxfId="2732" priority="545" operator="equal">
      <formula>0</formula>
    </cfRule>
    <cfRule type="cellIs" dxfId="2731" priority="546" operator="notEqual">
      <formula>0</formula>
    </cfRule>
  </conditionalFormatting>
  <conditionalFormatting sqref="U60:U61">
    <cfRule type="cellIs" dxfId="2730" priority="543" operator="equal">
      <formula>0</formula>
    </cfRule>
    <cfRule type="cellIs" dxfId="2729" priority="544" operator="notEqual">
      <formula>0</formula>
    </cfRule>
  </conditionalFormatting>
  <conditionalFormatting sqref="V60:V61">
    <cfRule type="cellIs" dxfId="2728" priority="541" operator="equal">
      <formula>0</formula>
    </cfRule>
    <cfRule type="cellIs" dxfId="2727" priority="542" operator="notEqual">
      <formula>0</formula>
    </cfRule>
  </conditionalFormatting>
  <conditionalFormatting sqref="W60:W61">
    <cfRule type="cellIs" dxfId="2726" priority="539" operator="equal">
      <formula>0</formula>
    </cfRule>
    <cfRule type="cellIs" dxfId="2725" priority="540" operator="notEqual">
      <formula>0</formula>
    </cfRule>
  </conditionalFormatting>
  <conditionalFormatting sqref="X60:X61">
    <cfRule type="cellIs" dxfId="2724" priority="537" operator="equal">
      <formula>0</formula>
    </cfRule>
    <cfRule type="cellIs" dxfId="2723" priority="538" operator="notEqual">
      <formula>0</formula>
    </cfRule>
  </conditionalFormatting>
  <conditionalFormatting sqref="Y60:Y61">
    <cfRule type="cellIs" dxfId="2722" priority="535" operator="equal">
      <formula>0</formula>
    </cfRule>
    <cfRule type="cellIs" dxfId="2721" priority="536" operator="notEqual">
      <formula>0</formula>
    </cfRule>
  </conditionalFormatting>
  <conditionalFormatting sqref="Z60:Z61">
    <cfRule type="cellIs" dxfId="2720" priority="533" operator="equal">
      <formula>0</formula>
    </cfRule>
    <cfRule type="cellIs" dxfId="2719" priority="534" operator="notEqual">
      <formula>0</formula>
    </cfRule>
  </conditionalFormatting>
  <conditionalFormatting sqref="AA60:AA61">
    <cfRule type="cellIs" dxfId="2718" priority="531" operator="equal">
      <formula>0</formula>
    </cfRule>
    <cfRule type="cellIs" dxfId="2717" priority="532" operator="notEqual">
      <formula>0</formula>
    </cfRule>
  </conditionalFormatting>
  <conditionalFormatting sqref="AB60:AB61">
    <cfRule type="cellIs" dxfId="2716" priority="529" operator="equal">
      <formula>0</formula>
    </cfRule>
    <cfRule type="cellIs" dxfId="2715" priority="530" operator="notEqual">
      <formula>0</formula>
    </cfRule>
  </conditionalFormatting>
  <conditionalFormatting sqref="AG59">
    <cfRule type="cellIs" dxfId="2714" priority="527" operator="equal">
      <formula>0</formula>
    </cfRule>
    <cfRule type="cellIs" dxfId="2713" priority="528" operator="notEqual">
      <formula>0</formula>
    </cfRule>
  </conditionalFormatting>
  <conditionalFormatting sqref="AG62">
    <cfRule type="cellIs" dxfId="2712" priority="525" operator="equal">
      <formula>0</formula>
    </cfRule>
    <cfRule type="cellIs" dxfId="2711" priority="526" operator="notEqual">
      <formula>0</formula>
    </cfRule>
  </conditionalFormatting>
  <conditionalFormatting sqref="AH59">
    <cfRule type="cellIs" dxfId="2710" priority="523" operator="equal">
      <formula>0</formula>
    </cfRule>
    <cfRule type="cellIs" dxfId="2709" priority="524" operator="notEqual">
      <formula>0</formula>
    </cfRule>
  </conditionalFormatting>
  <conditionalFormatting sqref="AH62">
    <cfRule type="cellIs" dxfId="2708" priority="521" operator="equal">
      <formula>0</formula>
    </cfRule>
    <cfRule type="cellIs" dxfId="2707" priority="522" operator="notEqual">
      <formula>0</formula>
    </cfRule>
  </conditionalFormatting>
  <conditionalFormatting sqref="AI59">
    <cfRule type="cellIs" dxfId="2706" priority="519" operator="equal">
      <formula>0</formula>
    </cfRule>
    <cfRule type="cellIs" dxfId="2705" priority="520" operator="notEqual">
      <formula>0</formula>
    </cfRule>
  </conditionalFormatting>
  <conditionalFormatting sqref="AI62">
    <cfRule type="cellIs" dxfId="2704" priority="517" operator="equal">
      <formula>0</formula>
    </cfRule>
    <cfRule type="cellIs" dxfId="2703" priority="518" operator="notEqual">
      <formula>0</formula>
    </cfRule>
  </conditionalFormatting>
  <conditionalFormatting sqref="AJ59">
    <cfRule type="cellIs" dxfId="2702" priority="515" operator="equal">
      <formula>0</formula>
    </cfRule>
    <cfRule type="cellIs" dxfId="2701" priority="516" operator="notEqual">
      <formula>0</formula>
    </cfRule>
  </conditionalFormatting>
  <conditionalFormatting sqref="AJ62">
    <cfRule type="cellIs" dxfId="2700" priority="513" operator="equal">
      <formula>0</formula>
    </cfRule>
    <cfRule type="cellIs" dxfId="2699" priority="514" operator="notEqual">
      <formula>0</formula>
    </cfRule>
  </conditionalFormatting>
  <conditionalFormatting sqref="U53:U54">
    <cfRule type="cellIs" dxfId="2698" priority="511" operator="equal">
      <formula>0</formula>
    </cfRule>
    <cfRule type="cellIs" dxfId="2697" priority="512" operator="notEqual">
      <formula>0</formula>
    </cfRule>
  </conditionalFormatting>
  <conditionalFormatting sqref="V53:V54">
    <cfRule type="cellIs" dxfId="2696" priority="509" operator="equal">
      <formula>0</formula>
    </cfRule>
    <cfRule type="cellIs" dxfId="2695" priority="510" operator="notEqual">
      <formula>0</formula>
    </cfRule>
  </conditionalFormatting>
  <conditionalFormatting sqref="W53:W54">
    <cfRule type="cellIs" dxfId="2694" priority="507" operator="equal">
      <formula>0</formula>
    </cfRule>
    <cfRule type="cellIs" dxfId="2693" priority="508" operator="notEqual">
      <formula>0</formula>
    </cfRule>
  </conditionalFormatting>
  <conditionalFormatting sqref="X53:X54">
    <cfRule type="cellIs" dxfId="2692" priority="505" operator="equal">
      <formula>0</formula>
    </cfRule>
    <cfRule type="cellIs" dxfId="2691" priority="506" operator="notEqual">
      <formula>0</formula>
    </cfRule>
  </conditionalFormatting>
  <conditionalFormatting sqref="Y53:Y54">
    <cfRule type="cellIs" dxfId="2690" priority="503" operator="equal">
      <formula>0</formula>
    </cfRule>
    <cfRule type="cellIs" dxfId="2689" priority="504" operator="notEqual">
      <formula>0</formula>
    </cfRule>
  </conditionalFormatting>
  <conditionalFormatting sqref="Z53:Z54">
    <cfRule type="cellIs" dxfId="2688" priority="501" operator="equal">
      <formula>0</formula>
    </cfRule>
    <cfRule type="cellIs" dxfId="2687" priority="502" operator="notEqual">
      <formula>0</formula>
    </cfRule>
  </conditionalFormatting>
  <conditionalFormatting sqref="AA53:AA54">
    <cfRule type="cellIs" dxfId="2686" priority="499" operator="equal">
      <formula>0</formula>
    </cfRule>
    <cfRule type="cellIs" dxfId="2685" priority="500" operator="notEqual">
      <formula>0</formula>
    </cfRule>
  </conditionalFormatting>
  <conditionalFormatting sqref="AB53:AB54">
    <cfRule type="cellIs" dxfId="2684" priority="497" operator="equal">
      <formula>0</formula>
    </cfRule>
    <cfRule type="cellIs" dxfId="2683" priority="498" operator="notEqual">
      <formula>0</formula>
    </cfRule>
  </conditionalFormatting>
  <conditionalFormatting sqref="AG52">
    <cfRule type="cellIs" dxfId="2682" priority="495" operator="equal">
      <formula>0</formula>
    </cfRule>
    <cfRule type="cellIs" dxfId="2681" priority="496" operator="notEqual">
      <formula>0</formula>
    </cfRule>
  </conditionalFormatting>
  <conditionalFormatting sqref="AG55">
    <cfRule type="cellIs" dxfId="2680" priority="493" operator="equal">
      <formula>0</formula>
    </cfRule>
    <cfRule type="cellIs" dxfId="2679" priority="494" operator="notEqual">
      <formula>0</formula>
    </cfRule>
  </conditionalFormatting>
  <conditionalFormatting sqref="AH52">
    <cfRule type="cellIs" dxfId="2678" priority="491" operator="equal">
      <formula>0</formula>
    </cfRule>
    <cfRule type="cellIs" dxfId="2677" priority="492" operator="notEqual">
      <formula>0</formula>
    </cfRule>
  </conditionalFormatting>
  <conditionalFormatting sqref="AH55">
    <cfRule type="cellIs" dxfId="2676" priority="489" operator="equal">
      <formula>0</formula>
    </cfRule>
    <cfRule type="cellIs" dxfId="2675" priority="490" operator="notEqual">
      <formula>0</formula>
    </cfRule>
  </conditionalFormatting>
  <conditionalFormatting sqref="AI52">
    <cfRule type="cellIs" dxfId="2674" priority="487" operator="equal">
      <formula>0</formula>
    </cfRule>
    <cfRule type="cellIs" dxfId="2673" priority="488" operator="notEqual">
      <formula>0</formula>
    </cfRule>
  </conditionalFormatting>
  <conditionalFormatting sqref="AI55">
    <cfRule type="cellIs" dxfId="2672" priority="485" operator="equal">
      <formula>0</formula>
    </cfRule>
    <cfRule type="cellIs" dxfId="2671" priority="486" operator="notEqual">
      <formula>0</formula>
    </cfRule>
  </conditionalFormatting>
  <conditionalFormatting sqref="AJ52">
    <cfRule type="cellIs" dxfId="2670" priority="483" operator="equal">
      <formula>0</formula>
    </cfRule>
    <cfRule type="cellIs" dxfId="2669" priority="484" operator="notEqual">
      <formula>0</formula>
    </cfRule>
  </conditionalFormatting>
  <conditionalFormatting sqref="AJ55">
    <cfRule type="cellIs" dxfId="2668" priority="481" operator="equal">
      <formula>0</formula>
    </cfRule>
    <cfRule type="cellIs" dxfId="2667" priority="482" operator="notEqual">
      <formula>0</formula>
    </cfRule>
  </conditionalFormatting>
  <conditionalFormatting sqref="U46:U47">
    <cfRule type="cellIs" dxfId="2666" priority="479" operator="equal">
      <formula>0</formula>
    </cfRule>
    <cfRule type="cellIs" dxfId="2665" priority="480" operator="notEqual">
      <formula>0</formula>
    </cfRule>
  </conditionalFormatting>
  <conditionalFormatting sqref="V46:V47">
    <cfRule type="cellIs" dxfId="2664" priority="477" operator="equal">
      <formula>0</formula>
    </cfRule>
    <cfRule type="cellIs" dxfId="2663" priority="478" operator="notEqual">
      <formula>0</formula>
    </cfRule>
  </conditionalFormatting>
  <conditionalFormatting sqref="W46:W47">
    <cfRule type="cellIs" dxfId="2662" priority="475" operator="equal">
      <formula>0</formula>
    </cfRule>
    <cfRule type="cellIs" dxfId="2661" priority="476" operator="notEqual">
      <formula>0</formula>
    </cfRule>
  </conditionalFormatting>
  <conditionalFormatting sqref="X46:X47">
    <cfRule type="cellIs" dxfId="2660" priority="473" operator="equal">
      <formula>0</formula>
    </cfRule>
    <cfRule type="cellIs" dxfId="2659" priority="474" operator="notEqual">
      <formula>0</formula>
    </cfRule>
  </conditionalFormatting>
  <conditionalFormatting sqref="Y46:Y47">
    <cfRule type="cellIs" dxfId="2658" priority="471" operator="equal">
      <formula>0</formula>
    </cfRule>
    <cfRule type="cellIs" dxfId="2657" priority="472" operator="notEqual">
      <formula>0</formula>
    </cfRule>
  </conditionalFormatting>
  <conditionalFormatting sqref="Z46:Z47">
    <cfRule type="cellIs" dxfId="2656" priority="469" operator="equal">
      <formula>0</formula>
    </cfRule>
    <cfRule type="cellIs" dxfId="2655" priority="470" operator="notEqual">
      <formula>0</formula>
    </cfRule>
  </conditionalFormatting>
  <conditionalFormatting sqref="AA46:AA47">
    <cfRule type="cellIs" dxfId="2654" priority="467" operator="equal">
      <formula>0</formula>
    </cfRule>
    <cfRule type="cellIs" dxfId="2653" priority="468" operator="notEqual">
      <formula>0</formula>
    </cfRule>
  </conditionalFormatting>
  <conditionalFormatting sqref="AB46:AB47">
    <cfRule type="cellIs" dxfId="2652" priority="465" operator="equal">
      <formula>0</formula>
    </cfRule>
    <cfRule type="cellIs" dxfId="2651" priority="466" operator="notEqual">
      <formula>0</formula>
    </cfRule>
  </conditionalFormatting>
  <conditionalFormatting sqref="AG45">
    <cfRule type="cellIs" dxfId="2650" priority="463" operator="equal">
      <formula>0</formula>
    </cfRule>
    <cfRule type="cellIs" dxfId="2649" priority="464" operator="notEqual">
      <formula>0</formula>
    </cfRule>
  </conditionalFormatting>
  <conditionalFormatting sqref="AG48">
    <cfRule type="cellIs" dxfId="2648" priority="461" operator="equal">
      <formula>0</formula>
    </cfRule>
    <cfRule type="cellIs" dxfId="2647" priority="462" operator="notEqual">
      <formula>0</formula>
    </cfRule>
  </conditionalFormatting>
  <conditionalFormatting sqref="AH45">
    <cfRule type="cellIs" dxfId="2646" priority="459" operator="equal">
      <formula>0</formula>
    </cfRule>
    <cfRule type="cellIs" dxfId="2645" priority="460" operator="notEqual">
      <formula>0</formula>
    </cfRule>
  </conditionalFormatting>
  <conditionalFormatting sqref="AH48">
    <cfRule type="cellIs" dxfId="2644" priority="457" operator="equal">
      <formula>0</formula>
    </cfRule>
    <cfRule type="cellIs" dxfId="2643" priority="458" operator="notEqual">
      <formula>0</formula>
    </cfRule>
  </conditionalFormatting>
  <conditionalFormatting sqref="AI45">
    <cfRule type="cellIs" dxfId="2642" priority="455" operator="equal">
      <formula>0</formula>
    </cfRule>
    <cfRule type="cellIs" dxfId="2641" priority="456" operator="notEqual">
      <formula>0</formula>
    </cfRule>
  </conditionalFormatting>
  <conditionalFormatting sqref="AI48">
    <cfRule type="cellIs" dxfId="2640" priority="453" operator="equal">
      <formula>0</formula>
    </cfRule>
    <cfRule type="cellIs" dxfId="2639" priority="454" operator="notEqual">
      <formula>0</formula>
    </cfRule>
  </conditionalFormatting>
  <conditionalFormatting sqref="AJ45">
    <cfRule type="cellIs" dxfId="2638" priority="451" operator="equal">
      <formula>0</formula>
    </cfRule>
    <cfRule type="cellIs" dxfId="2637" priority="452" operator="notEqual">
      <formula>0</formula>
    </cfRule>
  </conditionalFormatting>
  <conditionalFormatting sqref="AJ48">
    <cfRule type="cellIs" dxfId="2636" priority="449" operator="equal">
      <formula>0</formula>
    </cfRule>
    <cfRule type="cellIs" dxfId="2635" priority="450" operator="notEqual">
      <formula>0</formula>
    </cfRule>
  </conditionalFormatting>
  <conditionalFormatting sqref="U39:U40">
    <cfRule type="cellIs" dxfId="2634" priority="447" operator="equal">
      <formula>0</formula>
    </cfRule>
    <cfRule type="cellIs" dxfId="2633" priority="448" operator="notEqual">
      <formula>0</formula>
    </cfRule>
  </conditionalFormatting>
  <conditionalFormatting sqref="V39:V40">
    <cfRule type="cellIs" dxfId="2632" priority="445" operator="equal">
      <formula>0</formula>
    </cfRule>
    <cfRule type="cellIs" dxfId="2631" priority="446" operator="notEqual">
      <formula>0</formula>
    </cfRule>
  </conditionalFormatting>
  <conditionalFormatting sqref="W39:W40">
    <cfRule type="cellIs" dxfId="2630" priority="443" operator="equal">
      <formula>0</formula>
    </cfRule>
    <cfRule type="cellIs" dxfId="2629" priority="444" operator="notEqual">
      <formula>0</formula>
    </cfRule>
  </conditionalFormatting>
  <conditionalFormatting sqref="X39:X40">
    <cfRule type="cellIs" dxfId="2628" priority="441" operator="equal">
      <formula>0</formula>
    </cfRule>
    <cfRule type="cellIs" dxfId="2627" priority="442" operator="notEqual">
      <formula>0</formula>
    </cfRule>
  </conditionalFormatting>
  <conditionalFormatting sqref="Y39:Y40">
    <cfRule type="cellIs" dxfId="2626" priority="439" operator="equal">
      <formula>0</formula>
    </cfRule>
    <cfRule type="cellIs" dxfId="2625" priority="440" operator="notEqual">
      <formula>0</formula>
    </cfRule>
  </conditionalFormatting>
  <conditionalFormatting sqref="Z39:Z40">
    <cfRule type="cellIs" dxfId="2624" priority="437" operator="equal">
      <formula>0</formula>
    </cfRule>
    <cfRule type="cellIs" dxfId="2623" priority="438" operator="notEqual">
      <formula>0</formula>
    </cfRule>
  </conditionalFormatting>
  <conditionalFormatting sqref="AA39:AA40">
    <cfRule type="cellIs" dxfId="2622" priority="435" operator="equal">
      <formula>0</formula>
    </cfRule>
    <cfRule type="cellIs" dxfId="2621" priority="436" operator="notEqual">
      <formula>0</formula>
    </cfRule>
  </conditionalFormatting>
  <conditionalFormatting sqref="AB39:AB40">
    <cfRule type="cellIs" dxfId="2620" priority="433" operator="equal">
      <formula>0</formula>
    </cfRule>
    <cfRule type="cellIs" dxfId="2619" priority="434" operator="notEqual">
      <formula>0</formula>
    </cfRule>
  </conditionalFormatting>
  <conditionalFormatting sqref="AG38">
    <cfRule type="cellIs" dxfId="2618" priority="431" operator="equal">
      <formula>0</formula>
    </cfRule>
    <cfRule type="cellIs" dxfId="2617" priority="432" operator="notEqual">
      <formula>0</formula>
    </cfRule>
  </conditionalFormatting>
  <conditionalFormatting sqref="AG41">
    <cfRule type="cellIs" dxfId="2616" priority="429" operator="equal">
      <formula>0</formula>
    </cfRule>
    <cfRule type="cellIs" dxfId="2615" priority="430" operator="notEqual">
      <formula>0</formula>
    </cfRule>
  </conditionalFormatting>
  <conditionalFormatting sqref="AH38">
    <cfRule type="cellIs" dxfId="2614" priority="427" operator="equal">
      <formula>0</formula>
    </cfRule>
    <cfRule type="cellIs" dxfId="2613" priority="428" operator="notEqual">
      <formula>0</formula>
    </cfRule>
  </conditionalFormatting>
  <conditionalFormatting sqref="AH41">
    <cfRule type="cellIs" dxfId="2612" priority="425" operator="equal">
      <formula>0</formula>
    </cfRule>
    <cfRule type="cellIs" dxfId="2611" priority="426" operator="notEqual">
      <formula>0</formula>
    </cfRule>
  </conditionalFormatting>
  <conditionalFormatting sqref="AI38">
    <cfRule type="cellIs" dxfId="2610" priority="423" operator="equal">
      <formula>0</formula>
    </cfRule>
    <cfRule type="cellIs" dxfId="2609" priority="424" operator="notEqual">
      <formula>0</formula>
    </cfRule>
  </conditionalFormatting>
  <conditionalFormatting sqref="AI41">
    <cfRule type="cellIs" dxfId="2608" priority="421" operator="equal">
      <formula>0</formula>
    </cfRule>
    <cfRule type="cellIs" dxfId="2607" priority="422" operator="notEqual">
      <formula>0</formula>
    </cfRule>
  </conditionalFormatting>
  <conditionalFormatting sqref="AJ38">
    <cfRule type="cellIs" dxfId="2606" priority="419" operator="equal">
      <formula>0</formula>
    </cfRule>
    <cfRule type="cellIs" dxfId="2605" priority="420" operator="notEqual">
      <formula>0</formula>
    </cfRule>
  </conditionalFormatting>
  <conditionalFormatting sqref="AJ41">
    <cfRule type="cellIs" dxfId="2604" priority="417" operator="equal">
      <formula>0</formula>
    </cfRule>
    <cfRule type="cellIs" dxfId="2603" priority="418" operator="notEqual">
      <formula>0</formula>
    </cfRule>
  </conditionalFormatting>
  <conditionalFormatting sqref="U32:U33">
    <cfRule type="cellIs" dxfId="2602" priority="415" operator="equal">
      <formula>0</formula>
    </cfRule>
    <cfRule type="cellIs" dxfId="2601" priority="416" operator="notEqual">
      <formula>0</formula>
    </cfRule>
  </conditionalFormatting>
  <conditionalFormatting sqref="V32:V33">
    <cfRule type="cellIs" dxfId="2600" priority="413" operator="equal">
      <formula>0</formula>
    </cfRule>
    <cfRule type="cellIs" dxfId="2599" priority="414" operator="notEqual">
      <formula>0</formula>
    </cfRule>
  </conditionalFormatting>
  <conditionalFormatting sqref="W32:W33">
    <cfRule type="cellIs" dxfId="2598" priority="411" operator="equal">
      <formula>0</formula>
    </cfRule>
    <cfRule type="cellIs" dxfId="2597" priority="412" operator="notEqual">
      <formula>0</formula>
    </cfRule>
  </conditionalFormatting>
  <conditionalFormatting sqref="X32:X33">
    <cfRule type="cellIs" dxfId="2596" priority="409" operator="equal">
      <formula>0</formula>
    </cfRule>
    <cfRule type="cellIs" dxfId="2595" priority="410" operator="notEqual">
      <formula>0</formula>
    </cfRule>
  </conditionalFormatting>
  <conditionalFormatting sqref="Y32:Y33">
    <cfRule type="cellIs" dxfId="2594" priority="407" operator="equal">
      <formula>0</formula>
    </cfRule>
    <cfRule type="cellIs" dxfId="2593" priority="408" operator="notEqual">
      <formula>0</formula>
    </cfRule>
  </conditionalFormatting>
  <conditionalFormatting sqref="Z32:Z33">
    <cfRule type="cellIs" dxfId="2592" priority="405" operator="equal">
      <formula>0</formula>
    </cfRule>
    <cfRule type="cellIs" dxfId="2591" priority="406" operator="notEqual">
      <formula>0</formula>
    </cfRule>
  </conditionalFormatting>
  <conditionalFormatting sqref="AA32:AA33">
    <cfRule type="cellIs" dxfId="2590" priority="403" operator="equal">
      <formula>0</formula>
    </cfRule>
    <cfRule type="cellIs" dxfId="2589" priority="404" operator="notEqual">
      <formula>0</formula>
    </cfRule>
  </conditionalFormatting>
  <conditionalFormatting sqref="AB32:AB33">
    <cfRule type="cellIs" dxfId="2588" priority="401" operator="equal">
      <formula>0</formula>
    </cfRule>
    <cfRule type="cellIs" dxfId="2587" priority="402" operator="notEqual">
      <formula>0</formula>
    </cfRule>
  </conditionalFormatting>
  <conditionalFormatting sqref="AG31">
    <cfRule type="cellIs" dxfId="2586" priority="399" operator="equal">
      <formula>0</formula>
    </cfRule>
    <cfRule type="cellIs" dxfId="2585" priority="400" operator="notEqual">
      <formula>0</formula>
    </cfRule>
  </conditionalFormatting>
  <conditionalFormatting sqref="AG34">
    <cfRule type="cellIs" dxfId="2584" priority="397" operator="equal">
      <formula>0</formula>
    </cfRule>
    <cfRule type="cellIs" dxfId="2583" priority="398" operator="notEqual">
      <formula>0</formula>
    </cfRule>
  </conditionalFormatting>
  <conditionalFormatting sqref="AH31">
    <cfRule type="cellIs" dxfId="2582" priority="395" operator="equal">
      <formula>0</formula>
    </cfRule>
    <cfRule type="cellIs" dxfId="2581" priority="396" operator="notEqual">
      <formula>0</formula>
    </cfRule>
  </conditionalFormatting>
  <conditionalFormatting sqref="AH34">
    <cfRule type="cellIs" dxfId="2580" priority="393" operator="equal">
      <formula>0</formula>
    </cfRule>
    <cfRule type="cellIs" dxfId="2579" priority="394" operator="notEqual">
      <formula>0</formula>
    </cfRule>
  </conditionalFormatting>
  <conditionalFormatting sqref="AI31">
    <cfRule type="cellIs" dxfId="2578" priority="391" operator="equal">
      <formula>0</formula>
    </cfRule>
    <cfRule type="cellIs" dxfId="2577" priority="392" operator="notEqual">
      <formula>0</formula>
    </cfRule>
  </conditionalFormatting>
  <conditionalFormatting sqref="AI34">
    <cfRule type="cellIs" dxfId="2576" priority="389" operator="equal">
      <formula>0</formula>
    </cfRule>
    <cfRule type="cellIs" dxfId="2575" priority="390" operator="notEqual">
      <formula>0</formula>
    </cfRule>
  </conditionalFormatting>
  <conditionalFormatting sqref="AJ31">
    <cfRule type="cellIs" dxfId="2574" priority="387" operator="equal">
      <formula>0</formula>
    </cfRule>
    <cfRule type="cellIs" dxfId="2573" priority="388" operator="notEqual">
      <formula>0</formula>
    </cfRule>
  </conditionalFormatting>
  <conditionalFormatting sqref="AJ34">
    <cfRule type="cellIs" dxfId="2572" priority="385" operator="equal">
      <formula>0</formula>
    </cfRule>
    <cfRule type="cellIs" dxfId="2571" priority="386" operator="notEqual">
      <formula>0</formula>
    </cfRule>
  </conditionalFormatting>
  <conditionalFormatting sqref="U25:U26">
    <cfRule type="cellIs" dxfId="2570" priority="383" operator="equal">
      <formula>0</formula>
    </cfRule>
    <cfRule type="cellIs" dxfId="2569" priority="384" operator="notEqual">
      <formula>0</formula>
    </cfRule>
  </conditionalFormatting>
  <conditionalFormatting sqref="V25:V26">
    <cfRule type="cellIs" dxfId="2568" priority="381" operator="equal">
      <formula>0</formula>
    </cfRule>
    <cfRule type="cellIs" dxfId="2567" priority="382" operator="notEqual">
      <formula>0</formula>
    </cfRule>
  </conditionalFormatting>
  <conditionalFormatting sqref="W25:W26">
    <cfRule type="cellIs" dxfId="2566" priority="379" operator="equal">
      <formula>0</formula>
    </cfRule>
    <cfRule type="cellIs" dxfId="2565" priority="380" operator="notEqual">
      <formula>0</formula>
    </cfRule>
  </conditionalFormatting>
  <conditionalFormatting sqref="X25:X26">
    <cfRule type="cellIs" dxfId="2564" priority="377" operator="equal">
      <formula>0</formula>
    </cfRule>
    <cfRule type="cellIs" dxfId="2563" priority="378" operator="notEqual">
      <formula>0</formula>
    </cfRule>
  </conditionalFormatting>
  <conditionalFormatting sqref="Y25:Y26">
    <cfRule type="cellIs" dxfId="2562" priority="375" operator="equal">
      <formula>0</formula>
    </cfRule>
    <cfRule type="cellIs" dxfId="2561" priority="376" operator="notEqual">
      <formula>0</formula>
    </cfRule>
  </conditionalFormatting>
  <conditionalFormatting sqref="Z25:Z26">
    <cfRule type="cellIs" dxfId="2560" priority="373" operator="equal">
      <formula>0</formula>
    </cfRule>
    <cfRule type="cellIs" dxfId="2559" priority="374" operator="notEqual">
      <formula>0</formula>
    </cfRule>
  </conditionalFormatting>
  <conditionalFormatting sqref="AA25:AA26">
    <cfRule type="cellIs" dxfId="2558" priority="371" operator="equal">
      <formula>0</formula>
    </cfRule>
    <cfRule type="cellIs" dxfId="2557" priority="372" operator="notEqual">
      <formula>0</formula>
    </cfRule>
  </conditionalFormatting>
  <conditionalFormatting sqref="AB25:AB26">
    <cfRule type="cellIs" dxfId="2556" priority="369" operator="equal">
      <formula>0</formula>
    </cfRule>
    <cfRule type="cellIs" dxfId="2555" priority="370" operator="notEqual">
      <formula>0</formula>
    </cfRule>
  </conditionalFormatting>
  <conditionalFormatting sqref="AG24">
    <cfRule type="cellIs" dxfId="2554" priority="367" operator="equal">
      <formula>0</formula>
    </cfRule>
    <cfRule type="cellIs" dxfId="2553" priority="368" operator="notEqual">
      <formula>0</formula>
    </cfRule>
  </conditionalFormatting>
  <conditionalFormatting sqref="AG27">
    <cfRule type="cellIs" dxfId="2552" priority="365" operator="equal">
      <formula>0</formula>
    </cfRule>
    <cfRule type="cellIs" dxfId="2551" priority="366" operator="notEqual">
      <formula>0</formula>
    </cfRule>
  </conditionalFormatting>
  <conditionalFormatting sqref="AH24">
    <cfRule type="cellIs" dxfId="2550" priority="363" operator="equal">
      <formula>0</formula>
    </cfRule>
    <cfRule type="cellIs" dxfId="2549" priority="364" operator="notEqual">
      <formula>0</formula>
    </cfRule>
  </conditionalFormatting>
  <conditionalFormatting sqref="AH27">
    <cfRule type="cellIs" dxfId="2548" priority="361" operator="equal">
      <formula>0</formula>
    </cfRule>
    <cfRule type="cellIs" dxfId="2547" priority="362" operator="notEqual">
      <formula>0</formula>
    </cfRule>
  </conditionalFormatting>
  <conditionalFormatting sqref="AI24">
    <cfRule type="cellIs" dxfId="2546" priority="359" operator="equal">
      <formula>0</formula>
    </cfRule>
    <cfRule type="cellIs" dxfId="2545" priority="360" operator="notEqual">
      <formula>0</formula>
    </cfRule>
  </conditionalFormatting>
  <conditionalFormatting sqref="AI27">
    <cfRule type="cellIs" dxfId="2544" priority="357" operator="equal">
      <formula>0</formula>
    </cfRule>
    <cfRule type="cellIs" dxfId="2543" priority="358" operator="notEqual">
      <formula>0</formula>
    </cfRule>
  </conditionalFormatting>
  <conditionalFormatting sqref="AJ24">
    <cfRule type="cellIs" dxfId="2542" priority="355" operator="equal">
      <formula>0</formula>
    </cfRule>
    <cfRule type="cellIs" dxfId="2541" priority="356" operator="notEqual">
      <formula>0</formula>
    </cfRule>
  </conditionalFormatting>
  <conditionalFormatting sqref="AJ27">
    <cfRule type="cellIs" dxfId="2540" priority="353" operator="equal">
      <formula>0</formula>
    </cfRule>
    <cfRule type="cellIs" dxfId="2539" priority="354" operator="notEqual">
      <formula>0</formula>
    </cfRule>
  </conditionalFormatting>
  <conditionalFormatting sqref="U18:U19">
    <cfRule type="cellIs" dxfId="2538" priority="351" operator="equal">
      <formula>0</formula>
    </cfRule>
    <cfRule type="cellIs" dxfId="2537" priority="352" operator="notEqual">
      <formula>0</formula>
    </cfRule>
  </conditionalFormatting>
  <conditionalFormatting sqref="V18:V19">
    <cfRule type="cellIs" dxfId="2536" priority="349" operator="equal">
      <formula>0</formula>
    </cfRule>
    <cfRule type="cellIs" dxfId="2535" priority="350" operator="notEqual">
      <formula>0</formula>
    </cfRule>
  </conditionalFormatting>
  <conditionalFormatting sqref="W18:W19">
    <cfRule type="cellIs" dxfId="2534" priority="347" operator="equal">
      <formula>0</formula>
    </cfRule>
    <cfRule type="cellIs" dxfId="2533" priority="348" operator="notEqual">
      <formula>0</formula>
    </cfRule>
  </conditionalFormatting>
  <conditionalFormatting sqref="X18:X19">
    <cfRule type="cellIs" dxfId="2532" priority="345" operator="equal">
      <formula>0</formula>
    </cfRule>
    <cfRule type="cellIs" dxfId="2531" priority="346" operator="notEqual">
      <formula>0</formula>
    </cfRule>
  </conditionalFormatting>
  <conditionalFormatting sqref="Y18:Y19">
    <cfRule type="cellIs" dxfId="2530" priority="343" operator="equal">
      <formula>0</formula>
    </cfRule>
    <cfRule type="cellIs" dxfId="2529" priority="344" operator="notEqual">
      <formula>0</formula>
    </cfRule>
  </conditionalFormatting>
  <conditionalFormatting sqref="Z18:Z19">
    <cfRule type="cellIs" dxfId="2528" priority="341" operator="equal">
      <formula>0</formula>
    </cfRule>
    <cfRule type="cellIs" dxfId="2527" priority="342" operator="notEqual">
      <formula>0</formula>
    </cfRule>
  </conditionalFormatting>
  <conditionalFormatting sqref="AA18:AA19">
    <cfRule type="cellIs" dxfId="2526" priority="339" operator="equal">
      <formula>0</formula>
    </cfRule>
    <cfRule type="cellIs" dxfId="2525" priority="340" operator="notEqual">
      <formula>0</formula>
    </cfRule>
  </conditionalFormatting>
  <conditionalFormatting sqref="AB18:AB19">
    <cfRule type="cellIs" dxfId="2524" priority="337" operator="equal">
      <formula>0</formula>
    </cfRule>
    <cfRule type="cellIs" dxfId="2523" priority="338" operator="notEqual">
      <formula>0</formula>
    </cfRule>
  </conditionalFormatting>
  <conditionalFormatting sqref="AG17">
    <cfRule type="cellIs" dxfId="2522" priority="335" operator="equal">
      <formula>0</formula>
    </cfRule>
    <cfRule type="cellIs" dxfId="2521" priority="336" operator="notEqual">
      <formula>0</formula>
    </cfRule>
  </conditionalFormatting>
  <conditionalFormatting sqref="AG20">
    <cfRule type="cellIs" dxfId="2520" priority="333" operator="equal">
      <formula>0</formula>
    </cfRule>
    <cfRule type="cellIs" dxfId="2519" priority="334" operator="notEqual">
      <formula>0</formula>
    </cfRule>
  </conditionalFormatting>
  <conditionalFormatting sqref="AH17">
    <cfRule type="cellIs" dxfId="2518" priority="331" operator="equal">
      <formula>0</formula>
    </cfRule>
    <cfRule type="cellIs" dxfId="2517" priority="332" operator="notEqual">
      <formula>0</formula>
    </cfRule>
  </conditionalFormatting>
  <conditionalFormatting sqref="AH20">
    <cfRule type="cellIs" dxfId="2516" priority="329" operator="equal">
      <formula>0</formula>
    </cfRule>
    <cfRule type="cellIs" dxfId="2515" priority="330" operator="notEqual">
      <formula>0</formula>
    </cfRule>
  </conditionalFormatting>
  <conditionalFormatting sqref="AI17">
    <cfRule type="cellIs" dxfId="2514" priority="327" operator="equal">
      <formula>0</formula>
    </cfRule>
    <cfRule type="cellIs" dxfId="2513" priority="328" operator="notEqual">
      <formula>0</formula>
    </cfRule>
  </conditionalFormatting>
  <conditionalFormatting sqref="AI20">
    <cfRule type="cellIs" dxfId="2512" priority="325" operator="equal">
      <formula>0</formula>
    </cfRule>
    <cfRule type="cellIs" dxfId="2511" priority="326" operator="notEqual">
      <formula>0</formula>
    </cfRule>
  </conditionalFormatting>
  <conditionalFormatting sqref="AJ17">
    <cfRule type="cellIs" dxfId="2510" priority="323" operator="equal">
      <formula>0</formula>
    </cfRule>
    <cfRule type="cellIs" dxfId="2509" priority="324" operator="notEqual">
      <formula>0</formula>
    </cfRule>
  </conditionalFormatting>
  <conditionalFormatting sqref="AJ20">
    <cfRule type="cellIs" dxfId="2508" priority="321" operator="equal">
      <formula>0</formula>
    </cfRule>
    <cfRule type="cellIs" dxfId="2507" priority="322" operator="notEqual">
      <formula>0</formula>
    </cfRule>
  </conditionalFormatting>
  <conditionalFormatting sqref="U11:U12">
    <cfRule type="cellIs" dxfId="2506" priority="319" operator="equal">
      <formula>0</formula>
    </cfRule>
    <cfRule type="cellIs" dxfId="2505" priority="320" operator="notEqual">
      <formula>0</formula>
    </cfRule>
  </conditionalFormatting>
  <conditionalFormatting sqref="V11:V12">
    <cfRule type="cellIs" dxfId="2504" priority="317" operator="equal">
      <formula>0</formula>
    </cfRule>
    <cfRule type="cellIs" dxfId="2503" priority="318" operator="notEqual">
      <formula>0</formula>
    </cfRule>
  </conditionalFormatting>
  <conditionalFormatting sqref="W11:W12">
    <cfRule type="cellIs" dxfId="2502" priority="315" operator="equal">
      <formula>0</formula>
    </cfRule>
    <cfRule type="cellIs" dxfId="2501" priority="316" operator="notEqual">
      <formula>0</formula>
    </cfRule>
  </conditionalFormatting>
  <conditionalFormatting sqref="X11:X12">
    <cfRule type="cellIs" dxfId="2500" priority="313" operator="equal">
      <formula>0</formula>
    </cfRule>
    <cfRule type="cellIs" dxfId="2499" priority="314" operator="notEqual">
      <formula>0</formula>
    </cfRule>
  </conditionalFormatting>
  <conditionalFormatting sqref="Y11:Y12">
    <cfRule type="cellIs" dxfId="2498" priority="311" operator="equal">
      <formula>0</formula>
    </cfRule>
    <cfRule type="cellIs" dxfId="2497" priority="312" operator="notEqual">
      <formula>0</formula>
    </cfRule>
  </conditionalFormatting>
  <conditionalFormatting sqref="Z11:Z12">
    <cfRule type="cellIs" dxfId="2496" priority="309" operator="equal">
      <formula>0</formula>
    </cfRule>
    <cfRule type="cellIs" dxfId="2495" priority="310" operator="notEqual">
      <formula>0</formula>
    </cfRule>
  </conditionalFormatting>
  <conditionalFormatting sqref="AA11:AA12">
    <cfRule type="cellIs" dxfId="2494" priority="307" operator="equal">
      <formula>0</formula>
    </cfRule>
    <cfRule type="cellIs" dxfId="2493" priority="308" operator="notEqual">
      <formula>0</formula>
    </cfRule>
  </conditionalFormatting>
  <conditionalFormatting sqref="AB11:AB12">
    <cfRule type="cellIs" dxfId="2492" priority="305" operator="equal">
      <formula>0</formula>
    </cfRule>
    <cfRule type="cellIs" dxfId="2491" priority="306" operator="notEqual">
      <formula>0</formula>
    </cfRule>
  </conditionalFormatting>
  <conditionalFormatting sqref="AG10">
    <cfRule type="cellIs" dxfId="2490" priority="303" operator="equal">
      <formula>0</formula>
    </cfRule>
    <cfRule type="cellIs" dxfId="2489" priority="304" operator="notEqual">
      <formula>0</formula>
    </cfRule>
  </conditionalFormatting>
  <conditionalFormatting sqref="AG13">
    <cfRule type="cellIs" dxfId="2488" priority="301" operator="equal">
      <formula>0</formula>
    </cfRule>
    <cfRule type="cellIs" dxfId="2487" priority="302" operator="notEqual">
      <formula>0</formula>
    </cfRule>
  </conditionalFormatting>
  <conditionalFormatting sqref="AH10">
    <cfRule type="cellIs" dxfId="2486" priority="299" operator="equal">
      <formula>0</formula>
    </cfRule>
    <cfRule type="cellIs" dxfId="2485" priority="300" operator="notEqual">
      <formula>0</formula>
    </cfRule>
  </conditionalFormatting>
  <conditionalFormatting sqref="AH13">
    <cfRule type="cellIs" dxfId="2484" priority="297" operator="equal">
      <formula>0</formula>
    </cfRule>
    <cfRule type="cellIs" dxfId="2483" priority="298" operator="notEqual">
      <formula>0</formula>
    </cfRule>
  </conditionalFormatting>
  <conditionalFormatting sqref="AI10">
    <cfRule type="cellIs" dxfId="2482" priority="295" operator="equal">
      <formula>0</formula>
    </cfRule>
    <cfRule type="cellIs" dxfId="2481" priority="296" operator="notEqual">
      <formula>0</formula>
    </cfRule>
  </conditionalFormatting>
  <conditionalFormatting sqref="AI13">
    <cfRule type="cellIs" dxfId="2480" priority="293" operator="equal">
      <formula>0</formula>
    </cfRule>
    <cfRule type="cellIs" dxfId="2479" priority="294" operator="notEqual">
      <formula>0</formula>
    </cfRule>
  </conditionalFormatting>
  <conditionalFormatting sqref="AJ10">
    <cfRule type="cellIs" dxfId="2478" priority="291" operator="equal">
      <formula>0</formula>
    </cfRule>
    <cfRule type="cellIs" dxfId="2477" priority="292" operator="notEqual">
      <formula>0</formula>
    </cfRule>
  </conditionalFormatting>
  <conditionalFormatting sqref="AJ13">
    <cfRule type="cellIs" dxfId="2476" priority="289" operator="equal">
      <formula>0</formula>
    </cfRule>
    <cfRule type="cellIs" dxfId="2475" priority="290" operator="notEqual">
      <formula>0</formula>
    </cfRule>
  </conditionalFormatting>
  <conditionalFormatting sqref="C81:C82">
    <cfRule type="cellIs" dxfId="2474" priority="287" operator="equal">
      <formula>0</formula>
    </cfRule>
    <cfRule type="cellIs" dxfId="2473" priority="288" operator="notEqual">
      <formula>0</formula>
    </cfRule>
  </conditionalFormatting>
  <conditionalFormatting sqref="D81:D82">
    <cfRule type="cellIs" dxfId="2472" priority="285" operator="equal">
      <formula>0</formula>
    </cfRule>
    <cfRule type="cellIs" dxfId="2471" priority="286" operator="notEqual">
      <formula>0</formula>
    </cfRule>
  </conditionalFormatting>
  <conditionalFormatting sqref="E81:E82">
    <cfRule type="cellIs" dxfId="2470" priority="283" operator="equal">
      <formula>0</formula>
    </cfRule>
    <cfRule type="cellIs" dxfId="2469" priority="284" operator="notEqual">
      <formula>0</formula>
    </cfRule>
  </conditionalFormatting>
  <conditionalFormatting sqref="F81:F82">
    <cfRule type="cellIs" dxfId="2468" priority="281" operator="equal">
      <formula>0</formula>
    </cfRule>
    <cfRule type="cellIs" dxfId="2467" priority="282" operator="notEqual">
      <formula>0</formula>
    </cfRule>
  </conditionalFormatting>
  <conditionalFormatting sqref="G81:G82">
    <cfRule type="cellIs" dxfId="2466" priority="279" operator="equal">
      <formula>0</formula>
    </cfRule>
    <cfRule type="cellIs" dxfId="2465" priority="280" operator="notEqual">
      <formula>0</formula>
    </cfRule>
  </conditionalFormatting>
  <conditionalFormatting sqref="H81:H82">
    <cfRule type="cellIs" dxfId="2464" priority="277" operator="equal">
      <formula>0</formula>
    </cfRule>
    <cfRule type="cellIs" dxfId="2463" priority="278" operator="notEqual">
      <formula>0</formula>
    </cfRule>
  </conditionalFormatting>
  <conditionalFormatting sqref="I81:I82">
    <cfRule type="cellIs" dxfId="2462" priority="275" operator="equal">
      <formula>0</formula>
    </cfRule>
    <cfRule type="cellIs" dxfId="2461" priority="276" operator="notEqual">
      <formula>0</formula>
    </cfRule>
  </conditionalFormatting>
  <conditionalFormatting sqref="J81:J82">
    <cfRule type="cellIs" dxfId="2460" priority="273" operator="equal">
      <formula>0</formula>
    </cfRule>
    <cfRule type="cellIs" dxfId="2459" priority="274" operator="notEqual">
      <formula>0</formula>
    </cfRule>
  </conditionalFormatting>
  <conditionalFormatting sqref="O80">
    <cfRule type="cellIs" dxfId="2458" priority="271" operator="equal">
      <formula>0</formula>
    </cfRule>
    <cfRule type="cellIs" dxfId="2457" priority="272" operator="notEqual">
      <formula>0</formula>
    </cfRule>
  </conditionalFormatting>
  <conditionalFormatting sqref="O83">
    <cfRule type="cellIs" dxfId="2456" priority="269" operator="equal">
      <formula>0</formula>
    </cfRule>
    <cfRule type="cellIs" dxfId="2455" priority="270" operator="notEqual">
      <formula>0</formula>
    </cfRule>
  </conditionalFormatting>
  <conditionalFormatting sqref="P80">
    <cfRule type="cellIs" dxfId="2454" priority="267" operator="equal">
      <formula>0</formula>
    </cfRule>
    <cfRule type="cellIs" dxfId="2453" priority="268" operator="notEqual">
      <formula>0</formula>
    </cfRule>
  </conditionalFormatting>
  <conditionalFormatting sqref="P83">
    <cfRule type="cellIs" dxfId="2452" priority="265" operator="equal">
      <formula>0</formula>
    </cfRule>
    <cfRule type="cellIs" dxfId="2451" priority="266" operator="notEqual">
      <formula>0</formula>
    </cfRule>
  </conditionalFormatting>
  <conditionalFormatting sqref="Q80">
    <cfRule type="cellIs" dxfId="2450" priority="263" operator="equal">
      <formula>0</formula>
    </cfRule>
    <cfRule type="cellIs" dxfId="2449" priority="264" operator="notEqual">
      <formula>0</formula>
    </cfRule>
  </conditionalFormatting>
  <conditionalFormatting sqref="Q83">
    <cfRule type="cellIs" dxfId="2448" priority="261" operator="equal">
      <formula>0</formula>
    </cfRule>
    <cfRule type="cellIs" dxfId="2447" priority="262" operator="notEqual">
      <formula>0</formula>
    </cfRule>
  </conditionalFormatting>
  <conditionalFormatting sqref="R80">
    <cfRule type="cellIs" dxfId="2446" priority="259" operator="equal">
      <formula>0</formula>
    </cfRule>
    <cfRule type="cellIs" dxfId="2445" priority="260" operator="notEqual">
      <formula>0</formula>
    </cfRule>
  </conditionalFormatting>
  <conditionalFormatting sqref="R83">
    <cfRule type="cellIs" dxfId="2444" priority="257" operator="equal">
      <formula>0</formula>
    </cfRule>
    <cfRule type="cellIs" dxfId="2443" priority="258" operator="notEqual">
      <formula>0</formula>
    </cfRule>
  </conditionalFormatting>
  <conditionalFormatting sqref="C88:C89">
    <cfRule type="cellIs" dxfId="2442" priority="255" operator="equal">
      <formula>0</formula>
    </cfRule>
    <cfRule type="cellIs" dxfId="2441" priority="256" operator="notEqual">
      <formula>0</formula>
    </cfRule>
  </conditionalFormatting>
  <conditionalFormatting sqref="D88:D89">
    <cfRule type="cellIs" dxfId="2440" priority="253" operator="equal">
      <formula>0</formula>
    </cfRule>
    <cfRule type="cellIs" dxfId="2439" priority="254" operator="notEqual">
      <formula>0</formula>
    </cfRule>
  </conditionalFormatting>
  <conditionalFormatting sqref="E88:E89">
    <cfRule type="cellIs" dxfId="2438" priority="251" operator="equal">
      <formula>0</formula>
    </cfRule>
    <cfRule type="cellIs" dxfId="2437" priority="252" operator="notEqual">
      <formula>0</formula>
    </cfRule>
  </conditionalFormatting>
  <conditionalFormatting sqref="F88:F89">
    <cfRule type="cellIs" dxfId="2436" priority="249" operator="equal">
      <formula>0</formula>
    </cfRule>
    <cfRule type="cellIs" dxfId="2435" priority="250" operator="notEqual">
      <formula>0</formula>
    </cfRule>
  </conditionalFormatting>
  <conditionalFormatting sqref="G88:G89">
    <cfRule type="cellIs" dxfId="2434" priority="247" operator="equal">
      <formula>0</formula>
    </cfRule>
    <cfRule type="cellIs" dxfId="2433" priority="248" operator="notEqual">
      <formula>0</formula>
    </cfRule>
  </conditionalFormatting>
  <conditionalFormatting sqref="H88:H89">
    <cfRule type="cellIs" dxfId="2432" priority="245" operator="equal">
      <formula>0</formula>
    </cfRule>
    <cfRule type="cellIs" dxfId="2431" priority="246" operator="notEqual">
      <formula>0</formula>
    </cfRule>
  </conditionalFormatting>
  <conditionalFormatting sqref="I88:I89">
    <cfRule type="cellIs" dxfId="2430" priority="243" operator="equal">
      <formula>0</formula>
    </cfRule>
    <cfRule type="cellIs" dxfId="2429" priority="244" operator="notEqual">
      <formula>0</formula>
    </cfRule>
  </conditionalFormatting>
  <conditionalFormatting sqref="J88:J89">
    <cfRule type="cellIs" dxfId="2428" priority="241" operator="equal">
      <formula>0</formula>
    </cfRule>
    <cfRule type="cellIs" dxfId="2427" priority="242" operator="notEqual">
      <formula>0</formula>
    </cfRule>
  </conditionalFormatting>
  <conditionalFormatting sqref="O87">
    <cfRule type="cellIs" dxfId="2426" priority="239" operator="equal">
      <formula>0</formula>
    </cfRule>
    <cfRule type="cellIs" dxfId="2425" priority="240" operator="notEqual">
      <formula>0</formula>
    </cfRule>
  </conditionalFormatting>
  <conditionalFormatting sqref="O90">
    <cfRule type="cellIs" dxfId="2424" priority="237" operator="equal">
      <formula>0</formula>
    </cfRule>
    <cfRule type="cellIs" dxfId="2423" priority="238" operator="notEqual">
      <formula>0</formula>
    </cfRule>
  </conditionalFormatting>
  <conditionalFormatting sqref="P87">
    <cfRule type="cellIs" dxfId="2422" priority="235" operator="equal">
      <formula>0</formula>
    </cfRule>
    <cfRule type="cellIs" dxfId="2421" priority="236" operator="notEqual">
      <formula>0</formula>
    </cfRule>
  </conditionalFormatting>
  <conditionalFormatting sqref="P90">
    <cfRule type="cellIs" dxfId="2420" priority="233" operator="equal">
      <formula>0</formula>
    </cfRule>
    <cfRule type="cellIs" dxfId="2419" priority="234" operator="notEqual">
      <formula>0</formula>
    </cfRule>
  </conditionalFormatting>
  <conditionalFormatting sqref="Q87">
    <cfRule type="cellIs" dxfId="2418" priority="231" operator="equal">
      <formula>0</formula>
    </cfRule>
    <cfRule type="cellIs" dxfId="2417" priority="232" operator="notEqual">
      <formula>0</formula>
    </cfRule>
  </conditionalFormatting>
  <conditionalFormatting sqref="Q90">
    <cfRule type="cellIs" dxfId="2416" priority="229" operator="equal">
      <formula>0</formula>
    </cfRule>
    <cfRule type="cellIs" dxfId="2415" priority="230" operator="notEqual">
      <formula>0</formula>
    </cfRule>
  </conditionalFormatting>
  <conditionalFormatting sqref="R87">
    <cfRule type="cellIs" dxfId="2414" priority="227" operator="equal">
      <formula>0</formula>
    </cfRule>
    <cfRule type="cellIs" dxfId="2413" priority="228" operator="notEqual">
      <formula>0</formula>
    </cfRule>
  </conditionalFormatting>
  <conditionalFormatting sqref="R90">
    <cfRule type="cellIs" dxfId="2412" priority="225" operator="equal">
      <formula>0</formula>
    </cfRule>
    <cfRule type="cellIs" dxfId="2411" priority="226" operator="notEqual">
      <formula>0</formula>
    </cfRule>
  </conditionalFormatting>
  <conditionalFormatting sqref="C95:C96">
    <cfRule type="cellIs" dxfId="2410" priority="223" operator="equal">
      <formula>0</formula>
    </cfRule>
    <cfRule type="cellIs" dxfId="2409" priority="224" operator="notEqual">
      <formula>0</formula>
    </cfRule>
  </conditionalFormatting>
  <conditionalFormatting sqref="D95:D96">
    <cfRule type="cellIs" dxfId="2408" priority="221" operator="equal">
      <formula>0</formula>
    </cfRule>
    <cfRule type="cellIs" dxfId="2407" priority="222" operator="notEqual">
      <formula>0</formula>
    </cfRule>
  </conditionalFormatting>
  <conditionalFormatting sqref="E95:E96">
    <cfRule type="cellIs" dxfId="2406" priority="219" operator="equal">
      <formula>0</formula>
    </cfRule>
    <cfRule type="cellIs" dxfId="2405" priority="220" operator="notEqual">
      <formula>0</formula>
    </cfRule>
  </conditionalFormatting>
  <conditionalFormatting sqref="F95:F96">
    <cfRule type="cellIs" dxfId="2404" priority="217" operator="equal">
      <formula>0</formula>
    </cfRule>
    <cfRule type="cellIs" dxfId="2403" priority="218" operator="notEqual">
      <formula>0</formula>
    </cfRule>
  </conditionalFormatting>
  <conditionalFormatting sqref="G95:G96">
    <cfRule type="cellIs" dxfId="2402" priority="215" operator="equal">
      <formula>0</formula>
    </cfRule>
    <cfRule type="cellIs" dxfId="2401" priority="216" operator="notEqual">
      <formula>0</formula>
    </cfRule>
  </conditionalFormatting>
  <conditionalFormatting sqref="H95:H96">
    <cfRule type="cellIs" dxfId="2400" priority="213" operator="equal">
      <formula>0</formula>
    </cfRule>
    <cfRule type="cellIs" dxfId="2399" priority="214" operator="notEqual">
      <formula>0</formula>
    </cfRule>
  </conditionalFormatting>
  <conditionalFormatting sqref="I95:I96">
    <cfRule type="cellIs" dxfId="2398" priority="211" operator="equal">
      <formula>0</formula>
    </cfRule>
    <cfRule type="cellIs" dxfId="2397" priority="212" operator="notEqual">
      <formula>0</formula>
    </cfRule>
  </conditionalFormatting>
  <conditionalFormatting sqref="J95:J96">
    <cfRule type="cellIs" dxfId="2396" priority="209" operator="equal">
      <formula>0</formula>
    </cfRule>
    <cfRule type="cellIs" dxfId="2395" priority="210" operator="notEqual">
      <formula>0</formula>
    </cfRule>
  </conditionalFormatting>
  <conditionalFormatting sqref="O94">
    <cfRule type="cellIs" dxfId="2394" priority="207" operator="equal">
      <formula>0</formula>
    </cfRule>
    <cfRule type="cellIs" dxfId="2393" priority="208" operator="notEqual">
      <formula>0</formula>
    </cfRule>
  </conditionalFormatting>
  <conditionalFormatting sqref="O97">
    <cfRule type="cellIs" dxfId="2392" priority="205" operator="equal">
      <formula>0</formula>
    </cfRule>
    <cfRule type="cellIs" dxfId="2391" priority="206" operator="notEqual">
      <formula>0</formula>
    </cfRule>
  </conditionalFormatting>
  <conditionalFormatting sqref="P94">
    <cfRule type="cellIs" dxfId="2390" priority="203" operator="equal">
      <formula>0</formula>
    </cfRule>
    <cfRule type="cellIs" dxfId="2389" priority="204" operator="notEqual">
      <formula>0</formula>
    </cfRule>
  </conditionalFormatting>
  <conditionalFormatting sqref="P97">
    <cfRule type="cellIs" dxfId="2388" priority="201" operator="equal">
      <formula>0</formula>
    </cfRule>
    <cfRule type="cellIs" dxfId="2387" priority="202" operator="notEqual">
      <formula>0</formula>
    </cfRule>
  </conditionalFormatting>
  <conditionalFormatting sqref="Q94">
    <cfRule type="cellIs" dxfId="2386" priority="199" operator="equal">
      <formula>0</formula>
    </cfRule>
    <cfRule type="cellIs" dxfId="2385" priority="200" operator="notEqual">
      <formula>0</formula>
    </cfRule>
  </conditionalFormatting>
  <conditionalFormatting sqref="Q97">
    <cfRule type="cellIs" dxfId="2384" priority="197" operator="equal">
      <formula>0</formula>
    </cfRule>
    <cfRule type="cellIs" dxfId="2383" priority="198" operator="notEqual">
      <formula>0</formula>
    </cfRule>
  </conditionalFormatting>
  <conditionalFormatting sqref="R94">
    <cfRule type="cellIs" dxfId="2382" priority="195" operator="equal">
      <formula>0</formula>
    </cfRule>
    <cfRule type="cellIs" dxfId="2381" priority="196" operator="notEqual">
      <formula>0</formula>
    </cfRule>
  </conditionalFormatting>
  <conditionalFormatting sqref="R97">
    <cfRule type="cellIs" dxfId="2380" priority="193" operator="equal">
      <formula>0</formula>
    </cfRule>
    <cfRule type="cellIs" dxfId="2379" priority="194" operator="notEqual">
      <formula>0</formula>
    </cfRule>
  </conditionalFormatting>
  <conditionalFormatting sqref="C102:C103">
    <cfRule type="cellIs" dxfId="2378" priority="191" operator="equal">
      <formula>0</formula>
    </cfRule>
    <cfRule type="cellIs" dxfId="2377" priority="192" operator="notEqual">
      <formula>0</formula>
    </cfRule>
  </conditionalFormatting>
  <conditionalFormatting sqref="D102:D103">
    <cfRule type="cellIs" dxfId="2376" priority="189" operator="equal">
      <formula>0</formula>
    </cfRule>
    <cfRule type="cellIs" dxfId="2375" priority="190" operator="notEqual">
      <formula>0</formula>
    </cfRule>
  </conditionalFormatting>
  <conditionalFormatting sqref="E102:E103">
    <cfRule type="cellIs" dxfId="2374" priority="187" operator="equal">
      <formula>0</formula>
    </cfRule>
    <cfRule type="cellIs" dxfId="2373" priority="188" operator="notEqual">
      <formula>0</formula>
    </cfRule>
  </conditionalFormatting>
  <conditionalFormatting sqref="F102:F103">
    <cfRule type="cellIs" dxfId="2372" priority="185" operator="equal">
      <formula>0</formula>
    </cfRule>
    <cfRule type="cellIs" dxfId="2371" priority="186" operator="notEqual">
      <formula>0</formula>
    </cfRule>
  </conditionalFormatting>
  <conditionalFormatting sqref="G102:G103">
    <cfRule type="cellIs" dxfId="2370" priority="183" operator="equal">
      <formula>0</formula>
    </cfRule>
    <cfRule type="cellIs" dxfId="2369" priority="184" operator="notEqual">
      <formula>0</formula>
    </cfRule>
  </conditionalFormatting>
  <conditionalFormatting sqref="H102:H103">
    <cfRule type="cellIs" dxfId="2368" priority="181" operator="equal">
      <formula>0</formula>
    </cfRule>
    <cfRule type="cellIs" dxfId="2367" priority="182" operator="notEqual">
      <formula>0</formula>
    </cfRule>
  </conditionalFormatting>
  <conditionalFormatting sqref="I102:I103">
    <cfRule type="cellIs" dxfId="2366" priority="179" operator="equal">
      <formula>0</formula>
    </cfRule>
    <cfRule type="cellIs" dxfId="2365" priority="180" operator="notEqual">
      <formula>0</formula>
    </cfRule>
  </conditionalFormatting>
  <conditionalFormatting sqref="J102:J103">
    <cfRule type="cellIs" dxfId="2364" priority="177" operator="equal">
      <formula>0</formula>
    </cfRule>
    <cfRule type="cellIs" dxfId="2363" priority="178" operator="notEqual">
      <formula>0</formula>
    </cfRule>
  </conditionalFormatting>
  <conditionalFormatting sqref="O101">
    <cfRule type="cellIs" dxfId="2362" priority="175" operator="equal">
      <formula>0</formula>
    </cfRule>
    <cfRule type="cellIs" dxfId="2361" priority="176" operator="notEqual">
      <formula>0</formula>
    </cfRule>
  </conditionalFormatting>
  <conditionalFormatting sqref="O104">
    <cfRule type="cellIs" dxfId="2360" priority="173" operator="equal">
      <formula>0</formula>
    </cfRule>
    <cfRule type="cellIs" dxfId="2359" priority="174" operator="notEqual">
      <formula>0</formula>
    </cfRule>
  </conditionalFormatting>
  <conditionalFormatting sqref="P101">
    <cfRule type="cellIs" dxfId="2358" priority="171" operator="equal">
      <formula>0</formula>
    </cfRule>
    <cfRule type="cellIs" dxfId="2357" priority="172" operator="notEqual">
      <formula>0</formula>
    </cfRule>
  </conditionalFormatting>
  <conditionalFormatting sqref="P104">
    <cfRule type="cellIs" dxfId="2356" priority="169" operator="equal">
      <formula>0</formula>
    </cfRule>
    <cfRule type="cellIs" dxfId="2355" priority="170" operator="notEqual">
      <formula>0</formula>
    </cfRule>
  </conditionalFormatting>
  <conditionalFormatting sqref="Q101">
    <cfRule type="cellIs" dxfId="2354" priority="167" operator="equal">
      <formula>0</formula>
    </cfRule>
    <cfRule type="cellIs" dxfId="2353" priority="168" operator="notEqual">
      <formula>0</formula>
    </cfRule>
  </conditionalFormatting>
  <conditionalFormatting sqref="Q104">
    <cfRule type="cellIs" dxfId="2352" priority="165" operator="equal">
      <formula>0</formula>
    </cfRule>
    <cfRule type="cellIs" dxfId="2351" priority="166" operator="notEqual">
      <formula>0</formula>
    </cfRule>
  </conditionalFormatting>
  <conditionalFormatting sqref="R101">
    <cfRule type="cellIs" dxfId="2350" priority="163" operator="equal">
      <formula>0</formula>
    </cfRule>
    <cfRule type="cellIs" dxfId="2349" priority="164" operator="notEqual">
      <formula>0</formula>
    </cfRule>
  </conditionalFormatting>
  <conditionalFormatting sqref="R104">
    <cfRule type="cellIs" dxfId="2348" priority="161" operator="equal">
      <formula>0</formula>
    </cfRule>
    <cfRule type="cellIs" dxfId="2347" priority="162" operator="notEqual">
      <formula>0</formula>
    </cfRule>
  </conditionalFormatting>
  <conditionalFormatting sqref="U74:U75">
    <cfRule type="cellIs" dxfId="2346" priority="159" operator="equal">
      <formula>0</formula>
    </cfRule>
    <cfRule type="cellIs" dxfId="2345" priority="160" operator="notEqual">
      <formula>0</formula>
    </cfRule>
  </conditionalFormatting>
  <conditionalFormatting sqref="V74:V75">
    <cfRule type="cellIs" dxfId="2344" priority="157" operator="equal">
      <formula>0</formula>
    </cfRule>
    <cfRule type="cellIs" dxfId="2343" priority="158" operator="notEqual">
      <formula>0</formula>
    </cfRule>
  </conditionalFormatting>
  <conditionalFormatting sqref="W74:W75">
    <cfRule type="cellIs" dxfId="2342" priority="155" operator="equal">
      <formula>0</formula>
    </cfRule>
    <cfRule type="cellIs" dxfId="2341" priority="156" operator="notEqual">
      <formula>0</formula>
    </cfRule>
  </conditionalFormatting>
  <conditionalFormatting sqref="X74:X75">
    <cfRule type="cellIs" dxfId="2340" priority="153" operator="equal">
      <formula>0</formula>
    </cfRule>
    <cfRule type="cellIs" dxfId="2339" priority="154" operator="notEqual">
      <formula>0</formula>
    </cfRule>
  </conditionalFormatting>
  <conditionalFormatting sqref="Y74:Y75">
    <cfRule type="cellIs" dxfId="2338" priority="151" operator="equal">
      <formula>0</formula>
    </cfRule>
    <cfRule type="cellIs" dxfId="2337" priority="152" operator="notEqual">
      <formula>0</formula>
    </cfRule>
  </conditionalFormatting>
  <conditionalFormatting sqref="Z74:Z75">
    <cfRule type="cellIs" dxfId="2336" priority="149" operator="equal">
      <formula>0</formula>
    </cfRule>
    <cfRule type="cellIs" dxfId="2335" priority="150" operator="notEqual">
      <formula>0</formula>
    </cfRule>
  </conditionalFormatting>
  <conditionalFormatting sqref="AA74:AA75">
    <cfRule type="cellIs" dxfId="2334" priority="147" operator="equal">
      <formula>0</formula>
    </cfRule>
    <cfRule type="cellIs" dxfId="2333" priority="148" operator="notEqual">
      <formula>0</formula>
    </cfRule>
  </conditionalFormatting>
  <conditionalFormatting sqref="AB74:AB75">
    <cfRule type="cellIs" dxfId="2332" priority="145" operator="equal">
      <formula>0</formula>
    </cfRule>
    <cfRule type="cellIs" dxfId="2331" priority="146" operator="notEqual">
      <formula>0</formula>
    </cfRule>
  </conditionalFormatting>
  <conditionalFormatting sqref="AG73">
    <cfRule type="cellIs" dxfId="2330" priority="143" operator="equal">
      <formula>0</formula>
    </cfRule>
    <cfRule type="cellIs" dxfId="2329" priority="144" operator="notEqual">
      <formula>0</formula>
    </cfRule>
  </conditionalFormatting>
  <conditionalFormatting sqref="AG76">
    <cfRule type="cellIs" dxfId="2328" priority="141" operator="equal">
      <formula>0</formula>
    </cfRule>
    <cfRule type="cellIs" dxfId="2327" priority="142" operator="notEqual">
      <formula>0</formula>
    </cfRule>
  </conditionalFormatting>
  <conditionalFormatting sqref="AH73">
    <cfRule type="cellIs" dxfId="2326" priority="139" operator="equal">
      <formula>0</formula>
    </cfRule>
    <cfRule type="cellIs" dxfId="2325" priority="140" operator="notEqual">
      <formula>0</formula>
    </cfRule>
  </conditionalFormatting>
  <conditionalFormatting sqref="AH76">
    <cfRule type="cellIs" dxfId="2324" priority="137" operator="equal">
      <formula>0</formula>
    </cfRule>
    <cfRule type="cellIs" dxfId="2323" priority="138" operator="notEqual">
      <formula>0</formula>
    </cfRule>
  </conditionalFormatting>
  <conditionalFormatting sqref="AI73">
    <cfRule type="cellIs" dxfId="2322" priority="135" operator="equal">
      <formula>0</formula>
    </cfRule>
    <cfRule type="cellIs" dxfId="2321" priority="136" operator="notEqual">
      <formula>0</formula>
    </cfRule>
  </conditionalFormatting>
  <conditionalFormatting sqref="AI76">
    <cfRule type="cellIs" dxfId="2320" priority="133" operator="equal">
      <formula>0</formula>
    </cfRule>
    <cfRule type="cellIs" dxfId="2319" priority="134" operator="notEqual">
      <formula>0</formula>
    </cfRule>
  </conditionalFormatting>
  <conditionalFormatting sqref="AJ73">
    <cfRule type="cellIs" dxfId="2318" priority="131" operator="equal">
      <formula>0</formula>
    </cfRule>
    <cfRule type="cellIs" dxfId="2317" priority="132" operator="notEqual">
      <formula>0</formula>
    </cfRule>
  </conditionalFormatting>
  <conditionalFormatting sqref="AJ76">
    <cfRule type="cellIs" dxfId="2316" priority="129" operator="equal">
      <formula>0</formula>
    </cfRule>
    <cfRule type="cellIs" dxfId="2315" priority="130" operator="notEqual">
      <formula>0</formula>
    </cfRule>
  </conditionalFormatting>
  <conditionalFormatting sqref="U81:U82">
    <cfRule type="cellIs" dxfId="2314" priority="127" operator="equal">
      <formula>0</formula>
    </cfRule>
    <cfRule type="cellIs" dxfId="2313" priority="128" operator="notEqual">
      <formula>0</formula>
    </cfRule>
  </conditionalFormatting>
  <conditionalFormatting sqref="V81:V82">
    <cfRule type="cellIs" dxfId="2312" priority="125" operator="equal">
      <formula>0</formula>
    </cfRule>
    <cfRule type="cellIs" dxfId="2311" priority="126" operator="notEqual">
      <formula>0</formula>
    </cfRule>
  </conditionalFormatting>
  <conditionalFormatting sqref="W81:W82">
    <cfRule type="cellIs" dxfId="2310" priority="123" operator="equal">
      <formula>0</formula>
    </cfRule>
    <cfRule type="cellIs" dxfId="2309" priority="124" operator="notEqual">
      <formula>0</formula>
    </cfRule>
  </conditionalFormatting>
  <conditionalFormatting sqref="X81:X82">
    <cfRule type="cellIs" dxfId="2308" priority="121" operator="equal">
      <formula>0</formula>
    </cfRule>
    <cfRule type="cellIs" dxfId="2307" priority="122" operator="notEqual">
      <formula>0</formula>
    </cfRule>
  </conditionalFormatting>
  <conditionalFormatting sqref="Y81:Y82">
    <cfRule type="cellIs" dxfId="2306" priority="119" operator="equal">
      <formula>0</formula>
    </cfRule>
    <cfRule type="cellIs" dxfId="2305" priority="120" operator="notEqual">
      <formula>0</formula>
    </cfRule>
  </conditionalFormatting>
  <conditionalFormatting sqref="Z81:Z82">
    <cfRule type="cellIs" dxfId="2304" priority="117" operator="equal">
      <formula>0</formula>
    </cfRule>
    <cfRule type="cellIs" dxfId="2303" priority="118" operator="notEqual">
      <formula>0</formula>
    </cfRule>
  </conditionalFormatting>
  <conditionalFormatting sqref="AA81:AA82">
    <cfRule type="cellIs" dxfId="2302" priority="115" operator="equal">
      <formula>0</formula>
    </cfRule>
    <cfRule type="cellIs" dxfId="2301" priority="116" operator="notEqual">
      <formula>0</formula>
    </cfRule>
  </conditionalFormatting>
  <conditionalFormatting sqref="AB81:AB82">
    <cfRule type="cellIs" dxfId="2300" priority="113" operator="equal">
      <formula>0</formula>
    </cfRule>
    <cfRule type="cellIs" dxfId="2299" priority="114" operator="notEqual">
      <formula>0</formula>
    </cfRule>
  </conditionalFormatting>
  <conditionalFormatting sqref="AG80">
    <cfRule type="cellIs" dxfId="2298" priority="111" operator="equal">
      <formula>0</formula>
    </cfRule>
    <cfRule type="cellIs" dxfId="2297" priority="112" operator="notEqual">
      <formula>0</formula>
    </cfRule>
  </conditionalFormatting>
  <conditionalFormatting sqref="AG83">
    <cfRule type="cellIs" dxfId="2296" priority="109" operator="equal">
      <formula>0</formula>
    </cfRule>
    <cfRule type="cellIs" dxfId="2295" priority="110" operator="notEqual">
      <formula>0</formula>
    </cfRule>
  </conditionalFormatting>
  <conditionalFormatting sqref="AH80">
    <cfRule type="cellIs" dxfId="2294" priority="107" operator="equal">
      <formula>0</formula>
    </cfRule>
    <cfRule type="cellIs" dxfId="2293" priority="108" operator="notEqual">
      <formula>0</formula>
    </cfRule>
  </conditionalFormatting>
  <conditionalFormatting sqref="AH83">
    <cfRule type="cellIs" dxfId="2292" priority="105" operator="equal">
      <formula>0</formula>
    </cfRule>
    <cfRule type="cellIs" dxfId="2291" priority="106" operator="notEqual">
      <formula>0</formula>
    </cfRule>
  </conditionalFormatting>
  <conditionalFormatting sqref="AI80">
    <cfRule type="cellIs" dxfId="2290" priority="103" operator="equal">
      <formula>0</formula>
    </cfRule>
    <cfRule type="cellIs" dxfId="2289" priority="104" operator="notEqual">
      <formula>0</formula>
    </cfRule>
  </conditionalFormatting>
  <conditionalFormatting sqref="AI83">
    <cfRule type="cellIs" dxfId="2288" priority="101" operator="equal">
      <formula>0</formula>
    </cfRule>
    <cfRule type="cellIs" dxfId="2287" priority="102" operator="notEqual">
      <formula>0</formula>
    </cfRule>
  </conditionalFormatting>
  <conditionalFormatting sqref="AJ80">
    <cfRule type="cellIs" dxfId="2286" priority="99" operator="equal">
      <formula>0</formula>
    </cfRule>
    <cfRule type="cellIs" dxfId="2285" priority="100" operator="notEqual">
      <formula>0</formula>
    </cfRule>
  </conditionalFormatting>
  <conditionalFormatting sqref="AJ83">
    <cfRule type="cellIs" dxfId="2284" priority="97" operator="equal">
      <formula>0</formula>
    </cfRule>
    <cfRule type="cellIs" dxfId="2283" priority="98" operator="notEqual">
      <formula>0</formula>
    </cfRule>
  </conditionalFormatting>
  <conditionalFormatting sqref="U88:U89">
    <cfRule type="cellIs" dxfId="2282" priority="95" operator="equal">
      <formula>0</formula>
    </cfRule>
    <cfRule type="cellIs" dxfId="2281" priority="96" operator="notEqual">
      <formula>0</formula>
    </cfRule>
  </conditionalFormatting>
  <conditionalFormatting sqref="V88:V89">
    <cfRule type="cellIs" dxfId="2280" priority="93" operator="equal">
      <formula>0</formula>
    </cfRule>
    <cfRule type="cellIs" dxfId="2279" priority="94" operator="notEqual">
      <formula>0</formula>
    </cfRule>
  </conditionalFormatting>
  <conditionalFormatting sqref="W88:W89">
    <cfRule type="cellIs" dxfId="2278" priority="91" operator="equal">
      <formula>0</formula>
    </cfRule>
    <cfRule type="cellIs" dxfId="2277" priority="92" operator="notEqual">
      <formula>0</formula>
    </cfRule>
  </conditionalFormatting>
  <conditionalFormatting sqref="X88:X89">
    <cfRule type="cellIs" dxfId="2276" priority="89" operator="equal">
      <formula>0</formula>
    </cfRule>
    <cfRule type="cellIs" dxfId="2275" priority="90" operator="notEqual">
      <formula>0</formula>
    </cfRule>
  </conditionalFormatting>
  <conditionalFormatting sqref="Y88:Y89">
    <cfRule type="cellIs" dxfId="2274" priority="87" operator="equal">
      <formula>0</formula>
    </cfRule>
    <cfRule type="cellIs" dxfId="2273" priority="88" operator="notEqual">
      <formula>0</formula>
    </cfRule>
  </conditionalFormatting>
  <conditionalFormatting sqref="Z88:Z89">
    <cfRule type="cellIs" dxfId="2272" priority="85" operator="equal">
      <formula>0</formula>
    </cfRule>
    <cfRule type="cellIs" dxfId="2271" priority="86" operator="notEqual">
      <formula>0</formula>
    </cfRule>
  </conditionalFormatting>
  <conditionalFormatting sqref="AA88:AA89">
    <cfRule type="cellIs" dxfId="2270" priority="83" operator="equal">
      <formula>0</formula>
    </cfRule>
    <cfRule type="cellIs" dxfId="2269" priority="84" operator="notEqual">
      <formula>0</formula>
    </cfRule>
  </conditionalFormatting>
  <conditionalFormatting sqref="AB88:AB89">
    <cfRule type="cellIs" dxfId="2268" priority="81" operator="equal">
      <formula>0</formula>
    </cfRule>
    <cfRule type="cellIs" dxfId="2267" priority="82" operator="notEqual">
      <formula>0</formula>
    </cfRule>
  </conditionalFormatting>
  <conditionalFormatting sqref="AG87">
    <cfRule type="cellIs" dxfId="2266" priority="79" operator="equal">
      <formula>0</formula>
    </cfRule>
    <cfRule type="cellIs" dxfId="2265" priority="80" operator="notEqual">
      <formula>0</formula>
    </cfRule>
  </conditionalFormatting>
  <conditionalFormatting sqref="AG90">
    <cfRule type="cellIs" dxfId="2264" priority="77" operator="equal">
      <formula>0</formula>
    </cfRule>
    <cfRule type="cellIs" dxfId="2263" priority="78" operator="notEqual">
      <formula>0</formula>
    </cfRule>
  </conditionalFormatting>
  <conditionalFormatting sqref="AH87">
    <cfRule type="cellIs" dxfId="2262" priority="75" operator="equal">
      <formula>0</formula>
    </cfRule>
    <cfRule type="cellIs" dxfId="2261" priority="76" operator="notEqual">
      <formula>0</formula>
    </cfRule>
  </conditionalFormatting>
  <conditionalFormatting sqref="AH90">
    <cfRule type="cellIs" dxfId="2260" priority="73" operator="equal">
      <formula>0</formula>
    </cfRule>
    <cfRule type="cellIs" dxfId="2259" priority="74" operator="notEqual">
      <formula>0</formula>
    </cfRule>
  </conditionalFormatting>
  <conditionalFormatting sqref="AI87">
    <cfRule type="cellIs" dxfId="2258" priority="71" operator="equal">
      <formula>0</formula>
    </cfRule>
    <cfRule type="cellIs" dxfId="2257" priority="72" operator="notEqual">
      <formula>0</formula>
    </cfRule>
  </conditionalFormatting>
  <conditionalFormatting sqref="AI90">
    <cfRule type="cellIs" dxfId="2256" priority="69" operator="equal">
      <formula>0</formula>
    </cfRule>
    <cfRule type="cellIs" dxfId="2255" priority="70" operator="notEqual">
      <formula>0</formula>
    </cfRule>
  </conditionalFormatting>
  <conditionalFormatting sqref="AJ87">
    <cfRule type="cellIs" dxfId="2254" priority="67" operator="equal">
      <formula>0</formula>
    </cfRule>
    <cfRule type="cellIs" dxfId="2253" priority="68" operator="notEqual">
      <formula>0</formula>
    </cfRule>
  </conditionalFormatting>
  <conditionalFormatting sqref="AJ90">
    <cfRule type="cellIs" dxfId="2252" priority="65" operator="equal">
      <formula>0</formula>
    </cfRule>
    <cfRule type="cellIs" dxfId="2251" priority="66" operator="notEqual">
      <formula>0</formula>
    </cfRule>
  </conditionalFormatting>
  <conditionalFormatting sqref="U95:U96">
    <cfRule type="cellIs" dxfId="2250" priority="63" operator="equal">
      <formula>0</formula>
    </cfRule>
    <cfRule type="cellIs" dxfId="2249" priority="64" operator="notEqual">
      <formula>0</formula>
    </cfRule>
  </conditionalFormatting>
  <conditionalFormatting sqref="V95:V96">
    <cfRule type="cellIs" dxfId="2248" priority="61" operator="equal">
      <formula>0</formula>
    </cfRule>
    <cfRule type="cellIs" dxfId="2247" priority="62" operator="notEqual">
      <formula>0</formula>
    </cfRule>
  </conditionalFormatting>
  <conditionalFormatting sqref="W95:W96">
    <cfRule type="cellIs" dxfId="2246" priority="59" operator="equal">
      <formula>0</formula>
    </cfRule>
    <cfRule type="cellIs" dxfId="2245" priority="60" operator="notEqual">
      <formula>0</formula>
    </cfRule>
  </conditionalFormatting>
  <conditionalFormatting sqref="X95:X96">
    <cfRule type="cellIs" dxfId="2244" priority="57" operator="equal">
      <formula>0</formula>
    </cfRule>
    <cfRule type="cellIs" dxfId="2243" priority="58" operator="notEqual">
      <formula>0</formula>
    </cfRule>
  </conditionalFormatting>
  <conditionalFormatting sqref="Y95:Y96">
    <cfRule type="cellIs" dxfId="2242" priority="55" operator="equal">
      <formula>0</formula>
    </cfRule>
    <cfRule type="cellIs" dxfId="2241" priority="56" operator="notEqual">
      <formula>0</formula>
    </cfRule>
  </conditionalFormatting>
  <conditionalFormatting sqref="Z95:Z96">
    <cfRule type="cellIs" dxfId="2240" priority="53" operator="equal">
      <formula>0</formula>
    </cfRule>
    <cfRule type="cellIs" dxfId="2239" priority="54" operator="notEqual">
      <formula>0</formula>
    </cfRule>
  </conditionalFormatting>
  <conditionalFormatting sqref="AA95:AA96">
    <cfRule type="cellIs" dxfId="2238" priority="51" operator="equal">
      <formula>0</formula>
    </cfRule>
    <cfRule type="cellIs" dxfId="2237" priority="52" operator="notEqual">
      <formula>0</formula>
    </cfRule>
  </conditionalFormatting>
  <conditionalFormatting sqref="AB95:AB96">
    <cfRule type="cellIs" dxfId="2236" priority="49" operator="equal">
      <formula>0</formula>
    </cfRule>
    <cfRule type="cellIs" dxfId="2235" priority="50" operator="notEqual">
      <formula>0</formula>
    </cfRule>
  </conditionalFormatting>
  <conditionalFormatting sqref="AG94">
    <cfRule type="cellIs" dxfId="2234" priority="47" operator="equal">
      <formula>0</formula>
    </cfRule>
    <cfRule type="cellIs" dxfId="2233" priority="48" operator="notEqual">
      <formula>0</formula>
    </cfRule>
  </conditionalFormatting>
  <conditionalFormatting sqref="AG97">
    <cfRule type="cellIs" dxfId="2232" priority="45" operator="equal">
      <formula>0</formula>
    </cfRule>
    <cfRule type="cellIs" dxfId="2231" priority="46" operator="notEqual">
      <formula>0</formula>
    </cfRule>
  </conditionalFormatting>
  <conditionalFormatting sqref="AH94">
    <cfRule type="cellIs" dxfId="2230" priority="43" operator="equal">
      <formula>0</formula>
    </cfRule>
    <cfRule type="cellIs" dxfId="2229" priority="44" operator="notEqual">
      <formula>0</formula>
    </cfRule>
  </conditionalFormatting>
  <conditionalFormatting sqref="AH97">
    <cfRule type="cellIs" dxfId="2228" priority="41" operator="equal">
      <formula>0</formula>
    </cfRule>
    <cfRule type="cellIs" dxfId="2227" priority="42" operator="notEqual">
      <formula>0</formula>
    </cfRule>
  </conditionalFormatting>
  <conditionalFormatting sqref="AI94">
    <cfRule type="cellIs" dxfId="2226" priority="39" operator="equal">
      <formula>0</formula>
    </cfRule>
    <cfRule type="cellIs" dxfId="2225" priority="40" operator="notEqual">
      <formula>0</formula>
    </cfRule>
  </conditionalFormatting>
  <conditionalFormatting sqref="AI97">
    <cfRule type="cellIs" dxfId="2224" priority="37" operator="equal">
      <formula>0</formula>
    </cfRule>
    <cfRule type="cellIs" dxfId="2223" priority="38" operator="notEqual">
      <formula>0</formula>
    </cfRule>
  </conditionalFormatting>
  <conditionalFormatting sqref="AJ94">
    <cfRule type="cellIs" dxfId="2222" priority="35" operator="equal">
      <formula>0</formula>
    </cfRule>
    <cfRule type="cellIs" dxfId="2221" priority="36" operator="notEqual">
      <formula>0</formula>
    </cfRule>
  </conditionalFormatting>
  <conditionalFormatting sqref="AJ97">
    <cfRule type="cellIs" dxfId="2220" priority="33" operator="equal">
      <formula>0</formula>
    </cfRule>
    <cfRule type="cellIs" dxfId="2219" priority="34" operator="notEqual">
      <formula>0</formula>
    </cfRule>
  </conditionalFormatting>
  <conditionalFormatting sqref="U102:U103">
    <cfRule type="cellIs" dxfId="2218" priority="31" operator="equal">
      <formula>0</formula>
    </cfRule>
    <cfRule type="cellIs" dxfId="2217" priority="32" operator="notEqual">
      <formula>0</formula>
    </cfRule>
  </conditionalFormatting>
  <conditionalFormatting sqref="V102:V103">
    <cfRule type="cellIs" dxfId="2216" priority="29" operator="equal">
      <formula>0</formula>
    </cfRule>
    <cfRule type="cellIs" dxfId="2215" priority="30" operator="notEqual">
      <formula>0</formula>
    </cfRule>
  </conditionalFormatting>
  <conditionalFormatting sqref="W102:W103">
    <cfRule type="cellIs" dxfId="2214" priority="27" operator="equal">
      <formula>0</formula>
    </cfRule>
    <cfRule type="cellIs" dxfId="2213" priority="28" operator="notEqual">
      <formula>0</formula>
    </cfRule>
  </conditionalFormatting>
  <conditionalFormatting sqref="X102:X103">
    <cfRule type="cellIs" dxfId="2212" priority="25" operator="equal">
      <formula>0</formula>
    </cfRule>
    <cfRule type="cellIs" dxfId="2211" priority="26" operator="notEqual">
      <formula>0</formula>
    </cfRule>
  </conditionalFormatting>
  <conditionalFormatting sqref="Y102:Y103">
    <cfRule type="cellIs" dxfId="2210" priority="23" operator="equal">
      <formula>0</formula>
    </cfRule>
    <cfRule type="cellIs" dxfId="2209" priority="24" operator="notEqual">
      <formula>0</formula>
    </cfRule>
  </conditionalFormatting>
  <conditionalFormatting sqref="Z102:Z103">
    <cfRule type="cellIs" dxfId="2208" priority="21" operator="equal">
      <formula>0</formula>
    </cfRule>
    <cfRule type="cellIs" dxfId="2207" priority="22" operator="notEqual">
      <formula>0</formula>
    </cfRule>
  </conditionalFormatting>
  <conditionalFormatting sqref="AA102:AA103">
    <cfRule type="cellIs" dxfId="2206" priority="19" operator="equal">
      <formula>0</formula>
    </cfRule>
    <cfRule type="cellIs" dxfId="2205" priority="20" operator="notEqual">
      <formula>0</formula>
    </cfRule>
  </conditionalFormatting>
  <conditionalFormatting sqref="AB102:AB103">
    <cfRule type="cellIs" dxfId="2204" priority="17" operator="equal">
      <formula>0</formula>
    </cfRule>
    <cfRule type="cellIs" dxfId="2203" priority="18" operator="notEqual">
      <formula>0</formula>
    </cfRule>
  </conditionalFormatting>
  <conditionalFormatting sqref="AG101">
    <cfRule type="cellIs" dxfId="2202" priority="15" operator="equal">
      <formula>0</formula>
    </cfRule>
    <cfRule type="cellIs" dxfId="2201" priority="16" operator="notEqual">
      <formula>0</formula>
    </cfRule>
  </conditionalFormatting>
  <conditionalFormatting sqref="AG104">
    <cfRule type="cellIs" dxfId="2200" priority="13" operator="equal">
      <formula>0</formula>
    </cfRule>
    <cfRule type="cellIs" dxfId="2199" priority="14" operator="notEqual">
      <formula>0</formula>
    </cfRule>
  </conditionalFormatting>
  <conditionalFormatting sqref="AH101">
    <cfRule type="cellIs" dxfId="2198" priority="11" operator="equal">
      <formula>0</formula>
    </cfRule>
    <cfRule type="cellIs" dxfId="2197" priority="12" operator="notEqual">
      <formula>0</formula>
    </cfRule>
  </conditionalFormatting>
  <conditionalFormatting sqref="AH104">
    <cfRule type="cellIs" dxfId="2196" priority="9" operator="equal">
      <formula>0</formula>
    </cfRule>
    <cfRule type="cellIs" dxfId="2195" priority="10" operator="notEqual">
      <formula>0</formula>
    </cfRule>
  </conditionalFormatting>
  <conditionalFormatting sqref="AI101">
    <cfRule type="cellIs" dxfId="2194" priority="7" operator="equal">
      <formula>0</formula>
    </cfRule>
    <cfRule type="cellIs" dxfId="2193" priority="8" operator="notEqual">
      <formula>0</formula>
    </cfRule>
  </conditionalFormatting>
  <conditionalFormatting sqref="AI104">
    <cfRule type="cellIs" dxfId="2192" priority="5" operator="equal">
      <formula>0</formula>
    </cfRule>
    <cfRule type="cellIs" dxfId="2191" priority="6" operator="notEqual">
      <formula>0</formula>
    </cfRule>
  </conditionalFormatting>
  <conditionalFormatting sqref="AJ101">
    <cfRule type="cellIs" dxfId="2190" priority="3" operator="equal">
      <formula>0</formula>
    </cfRule>
    <cfRule type="cellIs" dxfId="2189" priority="4" operator="notEqual">
      <formula>0</formula>
    </cfRule>
  </conditionalFormatting>
  <conditionalFormatting sqref="AJ104">
    <cfRule type="cellIs" dxfId="2188" priority="1" operator="equal">
      <formula>0</formula>
    </cfRule>
    <cfRule type="cellIs" dxfId="2187"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sqref="A1:AJ1"/>
    </sheetView>
  </sheetViews>
  <sheetFormatPr defaultColWidth="9.140625" defaultRowHeight="15" x14ac:dyDescent="0.25"/>
  <cols>
    <col min="1" max="1" width="2.42578125" customWidth="1"/>
    <col min="2" max="2" width="36.140625" customWidth="1"/>
    <col min="20" max="20" width="33" customWidth="1"/>
  </cols>
  <sheetData>
    <row r="1" spans="1:49" ht="75" customHeight="1" x14ac:dyDescent="0.25">
      <c r="A1" s="536" t="s">
        <v>1158</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61"/>
      <c r="AL1" s="261"/>
      <c r="AM1" s="261"/>
      <c r="AN1" s="261"/>
      <c r="AO1" s="261"/>
      <c r="AP1" s="261"/>
      <c r="AQ1" s="261"/>
      <c r="AR1" s="261"/>
      <c r="AS1" s="261"/>
      <c r="AT1" s="261"/>
      <c r="AU1" s="261"/>
      <c r="AV1" s="261"/>
      <c r="AW1" s="261"/>
    </row>
    <row r="2" spans="1:49" ht="59.25" customHeight="1" x14ac:dyDescent="0.25">
      <c r="A2" s="430"/>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3"/>
      <c r="AL2" s="263"/>
      <c r="AM2" s="263"/>
      <c r="AN2" s="263"/>
      <c r="AO2" s="263"/>
      <c r="AP2" s="263"/>
      <c r="AQ2" s="263"/>
      <c r="AR2" s="263"/>
      <c r="AS2" s="263"/>
      <c r="AT2" s="263"/>
      <c r="AU2" s="263"/>
      <c r="AV2" s="263"/>
    </row>
    <row r="3" spans="1:49"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25">
      <c r="B4" s="36" t="s">
        <v>957</v>
      </c>
    </row>
    <row r="5" spans="1:49" ht="23.25" customHeight="1" x14ac:dyDescent="0.25">
      <c r="B5" s="242" t="s">
        <v>17</v>
      </c>
      <c r="P5" s="40"/>
    </row>
    <row r="6" spans="1:49" x14ac:dyDescent="0.25">
      <c r="B6" s="46"/>
    </row>
    <row r="8" spans="1:49" ht="28.5" customHeight="1" x14ac:dyDescent="0.25">
      <c r="B8" s="290" t="str">
        <f>HLOOKUP($B$5,Region_Table,2,0)</f>
        <v>All East Midlands Region</v>
      </c>
      <c r="C8" s="520" t="s">
        <v>1156</v>
      </c>
      <c r="D8" s="521"/>
      <c r="E8" s="521"/>
      <c r="F8" s="521"/>
      <c r="G8" s="521"/>
      <c r="H8" s="521"/>
      <c r="I8" s="521"/>
      <c r="J8" s="521"/>
      <c r="K8" s="521"/>
      <c r="L8" s="521"/>
      <c r="M8" s="540"/>
      <c r="N8" s="540"/>
      <c r="O8" s="541"/>
      <c r="P8" s="515">
        <f>SUMIF('caseload data'!C:C,'custody %'!B8,'caseload data'!V:V)</f>
        <v>0</v>
      </c>
      <c r="Q8" s="532"/>
      <c r="R8" s="533"/>
      <c r="S8" s="64"/>
      <c r="T8" s="290" t="str">
        <f>HLOOKUP($B$5,Region_Table,3,0)</f>
        <v>Derby City - N53</v>
      </c>
      <c r="U8" s="520" t="s">
        <v>1156</v>
      </c>
      <c r="V8" s="521"/>
      <c r="W8" s="521"/>
      <c r="X8" s="521"/>
      <c r="Y8" s="521"/>
      <c r="Z8" s="521"/>
      <c r="AA8" s="521"/>
      <c r="AB8" s="521"/>
      <c r="AC8" s="540"/>
      <c r="AD8" s="540"/>
      <c r="AE8" s="541"/>
      <c r="AF8" s="515">
        <f>SUMIF('caseload data'!C:C,'custody %'!T8,'caseload data'!V:V)</f>
        <v>0</v>
      </c>
      <c r="AG8" s="532"/>
      <c r="AH8" s="533"/>
    </row>
    <row r="9" spans="1:49" x14ac:dyDescent="0.25">
      <c r="B9" s="95" t="s">
        <v>1022</v>
      </c>
      <c r="C9" s="38" t="s">
        <v>879</v>
      </c>
      <c r="D9" s="38" t="s">
        <v>880</v>
      </c>
      <c r="E9" s="38" t="s">
        <v>881</v>
      </c>
      <c r="F9" s="38" t="s">
        <v>882</v>
      </c>
      <c r="G9" s="38" t="s">
        <v>883</v>
      </c>
      <c r="H9" s="38" t="s">
        <v>884</v>
      </c>
      <c r="I9" s="38" t="s">
        <v>885</v>
      </c>
      <c r="J9" s="38" t="s">
        <v>886</v>
      </c>
      <c r="K9" s="38" t="s">
        <v>887</v>
      </c>
      <c r="L9" s="38" t="s">
        <v>888</v>
      </c>
      <c r="M9" s="38" t="s">
        <v>889</v>
      </c>
      <c r="N9" s="38" t="s">
        <v>890</v>
      </c>
      <c r="O9" s="38" t="s">
        <v>891</v>
      </c>
      <c r="P9" s="38" t="s">
        <v>892</v>
      </c>
      <c r="Q9" s="38" t="s">
        <v>893</v>
      </c>
      <c r="R9" s="38" t="s">
        <v>894</v>
      </c>
      <c r="S9" s="64"/>
      <c r="T9" s="95" t="s">
        <v>1022</v>
      </c>
      <c r="U9" s="38" t="s">
        <v>879</v>
      </c>
      <c r="V9" s="38" t="s">
        <v>880</v>
      </c>
      <c r="W9" s="38" t="s">
        <v>881</v>
      </c>
      <c r="X9" s="38" t="s">
        <v>882</v>
      </c>
      <c r="Y9" s="38" t="s">
        <v>883</v>
      </c>
      <c r="Z9" s="38" t="s">
        <v>884</v>
      </c>
      <c r="AA9" s="38" t="s">
        <v>885</v>
      </c>
      <c r="AB9" s="38" t="s">
        <v>886</v>
      </c>
      <c r="AC9" s="38" t="s">
        <v>887</v>
      </c>
      <c r="AD9" s="38" t="s">
        <v>888</v>
      </c>
      <c r="AE9" s="38" t="s">
        <v>889</v>
      </c>
      <c r="AF9" s="38" t="s">
        <v>890</v>
      </c>
      <c r="AG9" s="38" t="s">
        <v>891</v>
      </c>
      <c r="AH9" s="38" t="s">
        <v>892</v>
      </c>
      <c r="AI9" s="38" t="s">
        <v>893</v>
      </c>
      <c r="AJ9" s="38" t="s">
        <v>894</v>
      </c>
    </row>
    <row r="10" spans="1:49" x14ac:dyDescent="0.25">
      <c r="B10" s="96" t="s">
        <v>1019</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1019</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25">
      <c r="B11" s="97" t="s">
        <v>1024</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1024</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25">
      <c r="B12" s="97" t="s">
        <v>1025</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1025</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25">
      <c r="B13" s="98" t="s">
        <v>1026</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1026</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25">
      <c r="B15" s="290" t="str">
        <f>HLOOKUP($B$5,Region_Table,4,0)</f>
        <v>Derbyshire - N53</v>
      </c>
      <c r="C15" s="520" t="s">
        <v>1156</v>
      </c>
      <c r="D15" s="521"/>
      <c r="E15" s="521"/>
      <c r="F15" s="521"/>
      <c r="G15" s="521"/>
      <c r="H15" s="521"/>
      <c r="I15" s="521"/>
      <c r="J15" s="521"/>
      <c r="K15" s="521"/>
      <c r="L15" s="521"/>
      <c r="M15" s="540"/>
      <c r="N15" s="540"/>
      <c r="O15" s="541"/>
      <c r="P15" s="515">
        <f>SUMIF('caseload data'!$C:$C,'custody %'!B15,'caseload data'!V:V)</f>
        <v>0</v>
      </c>
      <c r="Q15" s="532"/>
      <c r="R15" s="533"/>
      <c r="S15" s="64"/>
      <c r="T15" s="290" t="str">
        <f>HLOOKUP($B$5,Region_Table,5,0)</f>
        <v>Leicester, Leicestershire and Rutland</v>
      </c>
      <c r="U15" s="520" t="s">
        <v>1156</v>
      </c>
      <c r="V15" s="521"/>
      <c r="W15" s="521"/>
      <c r="X15" s="521"/>
      <c r="Y15" s="521"/>
      <c r="Z15" s="521"/>
      <c r="AA15" s="521"/>
      <c r="AB15" s="521"/>
      <c r="AC15" s="540"/>
      <c r="AD15" s="540"/>
      <c r="AE15" s="541"/>
      <c r="AF15" s="515">
        <f>SUMIF('caseload data'!$C:$C,'custody %'!T15,'caseload data'!V:V)</f>
        <v>0</v>
      </c>
      <c r="AG15" s="532"/>
      <c r="AH15" s="533"/>
    </row>
    <row r="16" spans="1:49" x14ac:dyDescent="0.25">
      <c r="B16" s="95" t="s">
        <v>1022</v>
      </c>
      <c r="C16" s="38" t="s">
        <v>879</v>
      </c>
      <c r="D16" s="38" t="s">
        <v>880</v>
      </c>
      <c r="E16" s="38" t="s">
        <v>881</v>
      </c>
      <c r="F16" s="38" t="s">
        <v>882</v>
      </c>
      <c r="G16" s="38" t="s">
        <v>883</v>
      </c>
      <c r="H16" s="38" t="s">
        <v>884</v>
      </c>
      <c r="I16" s="38" t="s">
        <v>885</v>
      </c>
      <c r="J16" s="38" t="s">
        <v>886</v>
      </c>
      <c r="K16" s="38" t="s">
        <v>887</v>
      </c>
      <c r="L16" s="38" t="s">
        <v>888</v>
      </c>
      <c r="M16" s="38" t="s">
        <v>889</v>
      </c>
      <c r="N16" s="38" t="s">
        <v>890</v>
      </c>
      <c r="O16" s="38" t="s">
        <v>891</v>
      </c>
      <c r="P16" s="38" t="s">
        <v>892</v>
      </c>
      <c r="Q16" s="38" t="s">
        <v>893</v>
      </c>
      <c r="R16" s="38" t="s">
        <v>894</v>
      </c>
      <c r="S16" s="64"/>
      <c r="T16" s="95" t="s">
        <v>1022</v>
      </c>
      <c r="U16" s="38" t="s">
        <v>879</v>
      </c>
      <c r="V16" s="38" t="s">
        <v>880</v>
      </c>
      <c r="W16" s="38" t="s">
        <v>881</v>
      </c>
      <c r="X16" s="38" t="s">
        <v>882</v>
      </c>
      <c r="Y16" s="38" t="s">
        <v>883</v>
      </c>
      <c r="Z16" s="38" t="s">
        <v>884</v>
      </c>
      <c r="AA16" s="38" t="s">
        <v>885</v>
      </c>
      <c r="AB16" s="38" t="s">
        <v>886</v>
      </c>
      <c r="AC16" s="38" t="s">
        <v>887</v>
      </c>
      <c r="AD16" s="38" t="s">
        <v>888</v>
      </c>
      <c r="AE16" s="38" t="s">
        <v>889</v>
      </c>
      <c r="AF16" s="38" t="s">
        <v>890</v>
      </c>
      <c r="AG16" s="38" t="s">
        <v>891</v>
      </c>
      <c r="AH16" s="38" t="s">
        <v>892</v>
      </c>
      <c r="AI16" s="38" t="s">
        <v>893</v>
      </c>
      <c r="AJ16" s="38" t="s">
        <v>894</v>
      </c>
    </row>
    <row r="17" spans="2:36" x14ac:dyDescent="0.25">
      <c r="B17" s="96" t="s">
        <v>1019</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1019</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25">
      <c r="B18" s="97" t="s">
        <v>1024</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1024</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25">
      <c r="B19" s="97" t="s">
        <v>1025</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1025</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25">
      <c r="B20" s="98" t="s">
        <v>1026</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1026</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25">
      <c r="B22" s="290" t="str">
        <f>HLOOKUP($B$5,Region_Table,6,0)</f>
        <v>Lincolnshire East and West - N53</v>
      </c>
      <c r="C22" s="520" t="s">
        <v>1156</v>
      </c>
      <c r="D22" s="521"/>
      <c r="E22" s="521"/>
      <c r="F22" s="521"/>
      <c r="G22" s="521"/>
      <c r="H22" s="521"/>
      <c r="I22" s="521"/>
      <c r="J22" s="521"/>
      <c r="K22" s="521"/>
      <c r="L22" s="521"/>
      <c r="M22" s="540"/>
      <c r="N22" s="540"/>
      <c r="O22" s="541"/>
      <c r="P22" s="515">
        <f>SUMIF('caseload data'!$C:$C,'custody %'!B22,'caseload data'!V:V)</f>
        <v>0</v>
      </c>
      <c r="Q22" s="532"/>
      <c r="R22" s="533"/>
      <c r="S22" s="64"/>
      <c r="T22" s="290" t="str">
        <f>HLOOKUP($B$5,Region_Table,7,0)</f>
        <v>Nottingham City</v>
      </c>
      <c r="U22" s="520" t="s">
        <v>1156</v>
      </c>
      <c r="V22" s="521"/>
      <c r="W22" s="521"/>
      <c r="X22" s="521"/>
      <c r="Y22" s="521"/>
      <c r="Z22" s="521"/>
      <c r="AA22" s="521"/>
      <c r="AB22" s="521"/>
      <c r="AC22" s="540"/>
      <c r="AD22" s="540"/>
      <c r="AE22" s="541"/>
      <c r="AF22" s="515">
        <f>SUMIF('caseload data'!$C:$C,'custody %'!T22,'caseload data'!V:V)</f>
        <v>0</v>
      </c>
      <c r="AG22" s="532"/>
      <c r="AH22" s="533"/>
    </row>
    <row r="23" spans="2:36" x14ac:dyDescent="0.25">
      <c r="B23" s="95" t="s">
        <v>1022</v>
      </c>
      <c r="C23" s="38" t="s">
        <v>879</v>
      </c>
      <c r="D23" s="38" t="s">
        <v>880</v>
      </c>
      <c r="E23" s="38" t="s">
        <v>881</v>
      </c>
      <c r="F23" s="38" t="s">
        <v>882</v>
      </c>
      <c r="G23" s="38" t="s">
        <v>883</v>
      </c>
      <c r="H23" s="38" t="s">
        <v>884</v>
      </c>
      <c r="I23" s="38" t="s">
        <v>885</v>
      </c>
      <c r="J23" s="38" t="s">
        <v>886</v>
      </c>
      <c r="K23" s="38" t="s">
        <v>887</v>
      </c>
      <c r="L23" s="38" t="s">
        <v>888</v>
      </c>
      <c r="M23" s="38" t="s">
        <v>889</v>
      </c>
      <c r="N23" s="38" t="s">
        <v>890</v>
      </c>
      <c r="O23" s="38" t="s">
        <v>891</v>
      </c>
      <c r="P23" s="38" t="s">
        <v>892</v>
      </c>
      <c r="Q23" s="38" t="s">
        <v>893</v>
      </c>
      <c r="R23" s="38" t="s">
        <v>894</v>
      </c>
      <c r="S23" s="64"/>
      <c r="T23" s="95" t="s">
        <v>1022</v>
      </c>
      <c r="U23" s="38" t="s">
        <v>879</v>
      </c>
      <c r="V23" s="38" t="s">
        <v>880</v>
      </c>
      <c r="W23" s="38" t="s">
        <v>881</v>
      </c>
      <c r="X23" s="38" t="s">
        <v>882</v>
      </c>
      <c r="Y23" s="38" t="s">
        <v>883</v>
      </c>
      <c r="Z23" s="38" t="s">
        <v>884</v>
      </c>
      <c r="AA23" s="38" t="s">
        <v>885</v>
      </c>
      <c r="AB23" s="38" t="s">
        <v>886</v>
      </c>
      <c r="AC23" s="38" t="s">
        <v>887</v>
      </c>
      <c r="AD23" s="38" t="s">
        <v>888</v>
      </c>
      <c r="AE23" s="38" t="s">
        <v>889</v>
      </c>
      <c r="AF23" s="38" t="s">
        <v>890</v>
      </c>
      <c r="AG23" s="38" t="s">
        <v>891</v>
      </c>
      <c r="AH23" s="38" t="s">
        <v>892</v>
      </c>
      <c r="AI23" s="38" t="s">
        <v>893</v>
      </c>
      <c r="AJ23" s="38" t="s">
        <v>894</v>
      </c>
    </row>
    <row r="24" spans="2:36" x14ac:dyDescent="0.25">
      <c r="B24" s="96" t="s">
        <v>1019</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1019</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25">
      <c r="B25" s="97" t="s">
        <v>1024</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1024</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25">
      <c r="B26" s="97" t="s">
        <v>1025</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1025</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25">
      <c r="B27" s="98" t="s">
        <v>1026</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1026</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25">
      <c r="B29" s="290" t="str">
        <f>HLOOKUP($B$5,Region_Table,8,0)</f>
        <v>Nottinghamshire - N53</v>
      </c>
      <c r="C29" s="520" t="s">
        <v>1156</v>
      </c>
      <c r="D29" s="521"/>
      <c r="E29" s="521"/>
      <c r="F29" s="521"/>
      <c r="G29" s="521"/>
      <c r="H29" s="521"/>
      <c r="I29" s="521"/>
      <c r="J29" s="521"/>
      <c r="K29" s="521"/>
      <c r="L29" s="521"/>
      <c r="M29" s="540"/>
      <c r="N29" s="540"/>
      <c r="O29" s="541"/>
      <c r="P29" s="515">
        <f>SUMIF('caseload data'!$C:$C,'custody %'!B29,'caseload data'!V:V)</f>
        <v>0</v>
      </c>
      <c r="Q29" s="532"/>
      <c r="R29" s="533"/>
      <c r="S29" s="64"/>
      <c r="T29" s="290" t="str">
        <f>HLOOKUP($B$5,Region_Table,9,0)</f>
        <v>Unpaid Work and Attendance Centres - N53</v>
      </c>
      <c r="U29" s="520" t="s">
        <v>1156</v>
      </c>
      <c r="V29" s="521"/>
      <c r="W29" s="521"/>
      <c r="X29" s="521"/>
      <c r="Y29" s="521"/>
      <c r="Z29" s="521"/>
      <c r="AA29" s="521"/>
      <c r="AB29" s="521"/>
      <c r="AC29" s="540"/>
      <c r="AD29" s="540"/>
      <c r="AE29" s="541"/>
      <c r="AF29" s="515">
        <f>SUMIF('caseload data'!$C:$C,'custody %'!T29,'caseload data'!V:V)</f>
        <v>0</v>
      </c>
      <c r="AG29" s="532"/>
      <c r="AH29" s="533"/>
    </row>
    <row r="30" spans="2:36" x14ac:dyDescent="0.25">
      <c r="B30" s="95" t="s">
        <v>1022</v>
      </c>
      <c r="C30" s="38" t="s">
        <v>879</v>
      </c>
      <c r="D30" s="38" t="s">
        <v>880</v>
      </c>
      <c r="E30" s="38" t="s">
        <v>881</v>
      </c>
      <c r="F30" s="38" t="s">
        <v>882</v>
      </c>
      <c r="G30" s="38" t="s">
        <v>883</v>
      </c>
      <c r="H30" s="38" t="s">
        <v>884</v>
      </c>
      <c r="I30" s="38" t="s">
        <v>885</v>
      </c>
      <c r="J30" s="38" t="s">
        <v>886</v>
      </c>
      <c r="K30" s="38" t="s">
        <v>887</v>
      </c>
      <c r="L30" s="38" t="s">
        <v>888</v>
      </c>
      <c r="M30" s="38" t="s">
        <v>889</v>
      </c>
      <c r="N30" s="38" t="s">
        <v>890</v>
      </c>
      <c r="O30" s="38" t="s">
        <v>891</v>
      </c>
      <c r="P30" s="38" t="s">
        <v>892</v>
      </c>
      <c r="Q30" s="38" t="s">
        <v>893</v>
      </c>
      <c r="R30" s="38" t="s">
        <v>894</v>
      </c>
      <c r="S30" s="64"/>
      <c r="T30" s="95" t="s">
        <v>1022</v>
      </c>
      <c r="U30" s="38" t="s">
        <v>879</v>
      </c>
      <c r="V30" s="38" t="s">
        <v>880</v>
      </c>
      <c r="W30" s="38" t="s">
        <v>881</v>
      </c>
      <c r="X30" s="38" t="s">
        <v>882</v>
      </c>
      <c r="Y30" s="38" t="s">
        <v>883</v>
      </c>
      <c r="Z30" s="38" t="s">
        <v>884</v>
      </c>
      <c r="AA30" s="38" t="s">
        <v>885</v>
      </c>
      <c r="AB30" s="38" t="s">
        <v>886</v>
      </c>
      <c r="AC30" s="38" t="s">
        <v>887</v>
      </c>
      <c r="AD30" s="38" t="s">
        <v>888</v>
      </c>
      <c r="AE30" s="38" t="s">
        <v>889</v>
      </c>
      <c r="AF30" s="38" t="s">
        <v>890</v>
      </c>
      <c r="AG30" s="38" t="s">
        <v>891</v>
      </c>
      <c r="AH30" s="38" t="s">
        <v>892</v>
      </c>
      <c r="AI30" s="38" t="s">
        <v>893</v>
      </c>
      <c r="AJ30" s="38" t="s">
        <v>894</v>
      </c>
    </row>
    <row r="31" spans="2:36" x14ac:dyDescent="0.25">
      <c r="B31" s="96" t="s">
        <v>1019</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1019</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25">
      <c r="B32" s="97" t="s">
        <v>1024</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1024</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25">
      <c r="B33" s="97" t="s">
        <v>1025</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1025</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25">
      <c r="B34" s="98" t="s">
        <v>1026</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1026</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25">
      <c r="B36" s="290">
        <f>HLOOKUP($B$5,Region_Table,10,0)</f>
        <v>0</v>
      </c>
      <c r="C36" s="520" t="s">
        <v>1156</v>
      </c>
      <c r="D36" s="521"/>
      <c r="E36" s="521"/>
      <c r="F36" s="521"/>
      <c r="G36" s="521"/>
      <c r="H36" s="521"/>
      <c r="I36" s="521"/>
      <c r="J36" s="521"/>
      <c r="K36" s="521"/>
      <c r="L36" s="521"/>
      <c r="M36" s="540"/>
      <c r="N36" s="540"/>
      <c r="O36" s="541"/>
      <c r="P36" s="515">
        <f>SUMIF('caseload data'!$C:$C,'custody %'!B36,'caseload data'!V:V)</f>
        <v>0</v>
      </c>
      <c r="Q36" s="532"/>
      <c r="R36" s="533"/>
      <c r="S36" s="64"/>
      <c r="T36" s="290">
        <f>HLOOKUP($B$5,Region_Table,11,0)</f>
        <v>0</v>
      </c>
      <c r="U36" s="520" t="s">
        <v>1156</v>
      </c>
      <c r="V36" s="521"/>
      <c r="W36" s="521"/>
      <c r="X36" s="521"/>
      <c r="Y36" s="521"/>
      <c r="Z36" s="521"/>
      <c r="AA36" s="521"/>
      <c r="AB36" s="521"/>
      <c r="AC36" s="540"/>
      <c r="AD36" s="540"/>
      <c r="AE36" s="541"/>
      <c r="AF36" s="515">
        <f>SUMIF('caseload data'!$C:$C,'custody %'!T36,'caseload data'!V:V)</f>
        <v>0</v>
      </c>
      <c r="AG36" s="532"/>
      <c r="AH36" s="533"/>
    </row>
    <row r="37" spans="2:36" x14ac:dyDescent="0.25">
      <c r="B37" s="95" t="s">
        <v>1022</v>
      </c>
      <c r="C37" s="38" t="s">
        <v>879</v>
      </c>
      <c r="D37" s="38" t="s">
        <v>880</v>
      </c>
      <c r="E37" s="38" t="s">
        <v>881</v>
      </c>
      <c r="F37" s="38" t="s">
        <v>882</v>
      </c>
      <c r="G37" s="38" t="s">
        <v>883</v>
      </c>
      <c r="H37" s="38" t="s">
        <v>884</v>
      </c>
      <c r="I37" s="38" t="s">
        <v>885</v>
      </c>
      <c r="J37" s="38" t="s">
        <v>886</v>
      </c>
      <c r="K37" s="38" t="s">
        <v>887</v>
      </c>
      <c r="L37" s="38" t="s">
        <v>888</v>
      </c>
      <c r="M37" s="38" t="s">
        <v>889</v>
      </c>
      <c r="N37" s="38" t="s">
        <v>890</v>
      </c>
      <c r="O37" s="38" t="s">
        <v>891</v>
      </c>
      <c r="P37" s="38" t="s">
        <v>892</v>
      </c>
      <c r="Q37" s="38" t="s">
        <v>893</v>
      </c>
      <c r="R37" s="38" t="s">
        <v>894</v>
      </c>
      <c r="S37" s="64"/>
      <c r="T37" s="95" t="s">
        <v>1022</v>
      </c>
      <c r="U37" s="38" t="s">
        <v>879</v>
      </c>
      <c r="V37" s="38" t="s">
        <v>880</v>
      </c>
      <c r="W37" s="38" t="s">
        <v>881</v>
      </c>
      <c r="X37" s="38" t="s">
        <v>882</v>
      </c>
      <c r="Y37" s="38" t="s">
        <v>883</v>
      </c>
      <c r="Z37" s="38" t="s">
        <v>884</v>
      </c>
      <c r="AA37" s="38" t="s">
        <v>885</v>
      </c>
      <c r="AB37" s="38" t="s">
        <v>886</v>
      </c>
      <c r="AC37" s="38" t="s">
        <v>887</v>
      </c>
      <c r="AD37" s="38" t="s">
        <v>888</v>
      </c>
      <c r="AE37" s="38" t="s">
        <v>889</v>
      </c>
      <c r="AF37" s="38" t="s">
        <v>890</v>
      </c>
      <c r="AG37" s="38" t="s">
        <v>891</v>
      </c>
      <c r="AH37" s="38" t="s">
        <v>892</v>
      </c>
      <c r="AI37" s="38" t="s">
        <v>893</v>
      </c>
      <c r="AJ37" s="38" t="s">
        <v>894</v>
      </c>
    </row>
    <row r="38" spans="2:36" x14ac:dyDescent="0.25">
      <c r="B38" s="96" t="s">
        <v>1019</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1019</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25">
      <c r="B39" s="97" t="s">
        <v>1024</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1024</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25">
      <c r="B40" s="97" t="s">
        <v>1025</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1025</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25">
      <c r="B41" s="98" t="s">
        <v>1026</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1026</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25">
      <c r="B43" s="290">
        <f>HLOOKUP($B$5,Region_Table,12,0)</f>
        <v>0</v>
      </c>
      <c r="C43" s="520" t="s">
        <v>1156</v>
      </c>
      <c r="D43" s="521"/>
      <c r="E43" s="521"/>
      <c r="F43" s="521"/>
      <c r="G43" s="521"/>
      <c r="H43" s="521"/>
      <c r="I43" s="521"/>
      <c r="J43" s="521"/>
      <c r="K43" s="521"/>
      <c r="L43" s="521"/>
      <c r="M43" s="540"/>
      <c r="N43" s="540"/>
      <c r="O43" s="541"/>
      <c r="P43" s="515">
        <f>SUMIF('caseload data'!$C:$C,'custody %'!B43,'caseload data'!V:V)</f>
        <v>0</v>
      </c>
      <c r="Q43" s="532"/>
      <c r="R43" s="533"/>
      <c r="S43" s="64"/>
      <c r="T43" s="290">
        <f>HLOOKUP($B$5,Region_Table,13,0)</f>
        <v>0</v>
      </c>
      <c r="U43" s="520" t="s">
        <v>1156</v>
      </c>
      <c r="V43" s="521"/>
      <c r="W43" s="521"/>
      <c r="X43" s="521"/>
      <c r="Y43" s="521"/>
      <c r="Z43" s="521"/>
      <c r="AA43" s="521"/>
      <c r="AB43" s="521"/>
      <c r="AC43" s="540"/>
      <c r="AD43" s="540"/>
      <c r="AE43" s="541"/>
      <c r="AF43" s="515">
        <f>SUMIF('caseload data'!$C:$C,'custody %'!T43,'caseload data'!V:V)</f>
        <v>0</v>
      </c>
      <c r="AG43" s="532"/>
      <c r="AH43" s="533"/>
    </row>
    <row r="44" spans="2:36" x14ac:dyDescent="0.25">
      <c r="B44" s="95" t="s">
        <v>1022</v>
      </c>
      <c r="C44" s="38" t="s">
        <v>879</v>
      </c>
      <c r="D44" s="38" t="s">
        <v>880</v>
      </c>
      <c r="E44" s="38" t="s">
        <v>881</v>
      </c>
      <c r="F44" s="38" t="s">
        <v>882</v>
      </c>
      <c r="G44" s="38" t="s">
        <v>883</v>
      </c>
      <c r="H44" s="38" t="s">
        <v>884</v>
      </c>
      <c r="I44" s="38" t="s">
        <v>885</v>
      </c>
      <c r="J44" s="38" t="s">
        <v>886</v>
      </c>
      <c r="K44" s="38" t="s">
        <v>887</v>
      </c>
      <c r="L44" s="38" t="s">
        <v>888</v>
      </c>
      <c r="M44" s="38" t="s">
        <v>889</v>
      </c>
      <c r="N44" s="38" t="s">
        <v>890</v>
      </c>
      <c r="O44" s="38" t="s">
        <v>891</v>
      </c>
      <c r="P44" s="38" t="s">
        <v>892</v>
      </c>
      <c r="Q44" s="38" t="s">
        <v>893</v>
      </c>
      <c r="R44" s="38" t="s">
        <v>894</v>
      </c>
      <c r="S44" s="64"/>
      <c r="T44" s="95" t="s">
        <v>1022</v>
      </c>
      <c r="U44" s="38" t="s">
        <v>879</v>
      </c>
      <c r="V44" s="38" t="s">
        <v>880</v>
      </c>
      <c r="W44" s="38" t="s">
        <v>881</v>
      </c>
      <c r="X44" s="38" t="s">
        <v>882</v>
      </c>
      <c r="Y44" s="38" t="s">
        <v>883</v>
      </c>
      <c r="Z44" s="38" t="s">
        <v>884</v>
      </c>
      <c r="AA44" s="38" t="s">
        <v>885</v>
      </c>
      <c r="AB44" s="38" t="s">
        <v>886</v>
      </c>
      <c r="AC44" s="38" t="s">
        <v>887</v>
      </c>
      <c r="AD44" s="38" t="s">
        <v>888</v>
      </c>
      <c r="AE44" s="38" t="s">
        <v>889</v>
      </c>
      <c r="AF44" s="38" t="s">
        <v>890</v>
      </c>
      <c r="AG44" s="38" t="s">
        <v>891</v>
      </c>
      <c r="AH44" s="38" t="s">
        <v>892</v>
      </c>
      <c r="AI44" s="38" t="s">
        <v>893</v>
      </c>
      <c r="AJ44" s="38" t="s">
        <v>894</v>
      </c>
    </row>
    <row r="45" spans="2:36" x14ac:dyDescent="0.25">
      <c r="B45" s="96" t="s">
        <v>1019</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1019</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25">
      <c r="B46" s="97" t="s">
        <v>1024</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1024</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25">
      <c r="B47" s="97" t="s">
        <v>1025</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1025</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25">
      <c r="B48" s="98" t="s">
        <v>1026</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1026</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25">
      <c r="B50" s="290">
        <f>HLOOKUP($B$5,Region_Table,14,0)</f>
        <v>0</v>
      </c>
      <c r="C50" s="520" t="s">
        <v>1156</v>
      </c>
      <c r="D50" s="521"/>
      <c r="E50" s="521"/>
      <c r="F50" s="521"/>
      <c r="G50" s="521"/>
      <c r="H50" s="521"/>
      <c r="I50" s="521"/>
      <c r="J50" s="521"/>
      <c r="K50" s="521"/>
      <c r="L50" s="521"/>
      <c r="M50" s="540"/>
      <c r="N50" s="540"/>
      <c r="O50" s="541"/>
      <c r="P50" s="515">
        <f>SUMIF('caseload data'!$C:$C,'custody %'!B50,'caseload data'!V:V)</f>
        <v>0</v>
      </c>
      <c r="Q50" s="532"/>
      <c r="R50" s="533"/>
      <c r="S50" s="64"/>
      <c r="T50" s="290">
        <f>HLOOKUP($B$5,Region_Table,15,0)</f>
        <v>0</v>
      </c>
      <c r="U50" s="520" t="s">
        <v>1156</v>
      </c>
      <c r="V50" s="521"/>
      <c r="W50" s="521"/>
      <c r="X50" s="521"/>
      <c r="Y50" s="521"/>
      <c r="Z50" s="521"/>
      <c r="AA50" s="521"/>
      <c r="AB50" s="521"/>
      <c r="AC50" s="540"/>
      <c r="AD50" s="540"/>
      <c r="AE50" s="541"/>
      <c r="AF50" s="515">
        <f>SUMIF('caseload data'!$C:$C,'custody %'!T50,'caseload data'!V:V)</f>
        <v>0</v>
      </c>
      <c r="AG50" s="532"/>
      <c r="AH50" s="533"/>
    </row>
    <row r="51" spans="2:36" x14ac:dyDescent="0.25">
      <c r="B51" s="95" t="s">
        <v>1022</v>
      </c>
      <c r="C51" s="38" t="s">
        <v>879</v>
      </c>
      <c r="D51" s="38" t="s">
        <v>880</v>
      </c>
      <c r="E51" s="38" t="s">
        <v>881</v>
      </c>
      <c r="F51" s="38" t="s">
        <v>882</v>
      </c>
      <c r="G51" s="38" t="s">
        <v>883</v>
      </c>
      <c r="H51" s="38" t="s">
        <v>884</v>
      </c>
      <c r="I51" s="38" t="s">
        <v>885</v>
      </c>
      <c r="J51" s="38" t="s">
        <v>886</v>
      </c>
      <c r="K51" s="38" t="s">
        <v>887</v>
      </c>
      <c r="L51" s="38" t="s">
        <v>888</v>
      </c>
      <c r="M51" s="38" t="s">
        <v>889</v>
      </c>
      <c r="N51" s="38" t="s">
        <v>890</v>
      </c>
      <c r="O51" s="38" t="s">
        <v>891</v>
      </c>
      <c r="P51" s="38" t="s">
        <v>892</v>
      </c>
      <c r="Q51" s="38" t="s">
        <v>893</v>
      </c>
      <c r="R51" s="38" t="s">
        <v>894</v>
      </c>
      <c r="S51" s="64"/>
      <c r="T51" s="95" t="s">
        <v>1022</v>
      </c>
      <c r="U51" s="38" t="s">
        <v>879</v>
      </c>
      <c r="V51" s="38" t="s">
        <v>880</v>
      </c>
      <c r="W51" s="38" t="s">
        <v>881</v>
      </c>
      <c r="X51" s="38" t="s">
        <v>882</v>
      </c>
      <c r="Y51" s="38" t="s">
        <v>883</v>
      </c>
      <c r="Z51" s="38" t="s">
        <v>884</v>
      </c>
      <c r="AA51" s="38" t="s">
        <v>885</v>
      </c>
      <c r="AB51" s="38" t="s">
        <v>886</v>
      </c>
      <c r="AC51" s="38" t="s">
        <v>887</v>
      </c>
      <c r="AD51" s="38" t="s">
        <v>888</v>
      </c>
      <c r="AE51" s="38" t="s">
        <v>889</v>
      </c>
      <c r="AF51" s="38" t="s">
        <v>890</v>
      </c>
      <c r="AG51" s="38" t="s">
        <v>891</v>
      </c>
      <c r="AH51" s="38" t="s">
        <v>892</v>
      </c>
      <c r="AI51" s="38" t="s">
        <v>893</v>
      </c>
      <c r="AJ51" s="38" t="s">
        <v>894</v>
      </c>
    </row>
    <row r="52" spans="2:36" x14ac:dyDescent="0.25">
      <c r="B52" s="96" t="s">
        <v>1019</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1019</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25">
      <c r="B53" s="97" t="s">
        <v>1024</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1024</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25">
      <c r="B54" s="97" t="s">
        <v>1025</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1025</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25">
      <c r="B55" s="98" t="s">
        <v>1026</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1026</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25">
      <c r="B57" s="290">
        <f>HLOOKUP($B$5,Region_Table,16,0)</f>
        <v>0</v>
      </c>
      <c r="C57" s="520" t="s">
        <v>1156</v>
      </c>
      <c r="D57" s="521"/>
      <c r="E57" s="521"/>
      <c r="F57" s="521"/>
      <c r="G57" s="521"/>
      <c r="H57" s="521"/>
      <c r="I57" s="521"/>
      <c r="J57" s="521"/>
      <c r="K57" s="521"/>
      <c r="L57" s="521"/>
      <c r="M57" s="540"/>
      <c r="N57" s="540"/>
      <c r="O57" s="541"/>
      <c r="P57" s="515">
        <f>SUMIF('caseload data'!$C:$C,'custody %'!B57,'caseload data'!V:V)</f>
        <v>0</v>
      </c>
      <c r="Q57" s="532"/>
      <c r="R57" s="533"/>
      <c r="S57" s="64"/>
      <c r="T57" s="290">
        <f>HLOOKUP($B$5,Region_Table,17,0)</f>
        <v>0</v>
      </c>
      <c r="U57" s="520" t="s">
        <v>1156</v>
      </c>
      <c r="V57" s="521"/>
      <c r="W57" s="521"/>
      <c r="X57" s="521"/>
      <c r="Y57" s="521"/>
      <c r="Z57" s="521"/>
      <c r="AA57" s="521"/>
      <c r="AB57" s="521"/>
      <c r="AC57" s="540"/>
      <c r="AD57" s="540"/>
      <c r="AE57" s="541"/>
      <c r="AF57" s="515">
        <f>SUMIF('caseload data'!$C:$C,'custody %'!T57,'caseload data'!V:V)</f>
        <v>0</v>
      </c>
      <c r="AG57" s="532"/>
      <c r="AH57" s="533"/>
    </row>
    <row r="58" spans="2:36" x14ac:dyDescent="0.25">
      <c r="B58" s="95" t="s">
        <v>1022</v>
      </c>
      <c r="C58" s="38" t="s">
        <v>879</v>
      </c>
      <c r="D58" s="38" t="s">
        <v>880</v>
      </c>
      <c r="E58" s="38" t="s">
        <v>881</v>
      </c>
      <c r="F58" s="38" t="s">
        <v>882</v>
      </c>
      <c r="G58" s="38" t="s">
        <v>883</v>
      </c>
      <c r="H58" s="38" t="s">
        <v>884</v>
      </c>
      <c r="I58" s="38" t="s">
        <v>885</v>
      </c>
      <c r="J58" s="38" t="s">
        <v>886</v>
      </c>
      <c r="K58" s="38" t="s">
        <v>887</v>
      </c>
      <c r="L58" s="38" t="s">
        <v>888</v>
      </c>
      <c r="M58" s="38" t="s">
        <v>889</v>
      </c>
      <c r="N58" s="38" t="s">
        <v>890</v>
      </c>
      <c r="O58" s="38" t="s">
        <v>891</v>
      </c>
      <c r="P58" s="38" t="s">
        <v>892</v>
      </c>
      <c r="Q58" s="38" t="s">
        <v>893</v>
      </c>
      <c r="R58" s="38" t="s">
        <v>894</v>
      </c>
      <c r="S58" s="64"/>
      <c r="T58" s="95" t="s">
        <v>1022</v>
      </c>
      <c r="U58" s="38" t="s">
        <v>879</v>
      </c>
      <c r="V58" s="38" t="s">
        <v>880</v>
      </c>
      <c r="W58" s="38" t="s">
        <v>881</v>
      </c>
      <c r="X58" s="38" t="s">
        <v>882</v>
      </c>
      <c r="Y58" s="38" t="s">
        <v>883</v>
      </c>
      <c r="Z58" s="38" t="s">
        <v>884</v>
      </c>
      <c r="AA58" s="38" t="s">
        <v>885</v>
      </c>
      <c r="AB58" s="38" t="s">
        <v>886</v>
      </c>
      <c r="AC58" s="38" t="s">
        <v>887</v>
      </c>
      <c r="AD58" s="38" t="s">
        <v>888</v>
      </c>
      <c r="AE58" s="38" t="s">
        <v>889</v>
      </c>
      <c r="AF58" s="38" t="s">
        <v>890</v>
      </c>
      <c r="AG58" s="38" t="s">
        <v>891</v>
      </c>
      <c r="AH58" s="38" t="s">
        <v>892</v>
      </c>
      <c r="AI58" s="38" t="s">
        <v>893</v>
      </c>
      <c r="AJ58" s="38" t="s">
        <v>894</v>
      </c>
    </row>
    <row r="59" spans="2:36" x14ac:dyDescent="0.25">
      <c r="B59" s="96" t="s">
        <v>1019</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1019</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25">
      <c r="B60" s="97" t="s">
        <v>1024</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1024</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25">
      <c r="B61" s="97" t="s">
        <v>1025</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1025</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25">
      <c r="B62" s="98" t="s">
        <v>1026</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1026</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25">
      <c r="B64" s="142">
        <f>HLOOKUP($B$5,Region_Table,18,0)</f>
        <v>0</v>
      </c>
      <c r="C64" s="520" t="s">
        <v>1156</v>
      </c>
      <c r="D64" s="521"/>
      <c r="E64" s="521"/>
      <c r="F64" s="521"/>
      <c r="G64" s="521"/>
      <c r="H64" s="521"/>
      <c r="I64" s="521"/>
      <c r="J64" s="521"/>
      <c r="K64" s="521"/>
      <c r="L64" s="521"/>
      <c r="M64" s="540"/>
      <c r="N64" s="540"/>
      <c r="O64" s="541"/>
      <c r="P64" s="515">
        <f>SUMIF('caseload data'!$C:$C,'custody %'!B64,'caseload data'!V:V)</f>
        <v>0</v>
      </c>
      <c r="Q64" s="532"/>
      <c r="R64" s="533"/>
      <c r="S64" s="64"/>
      <c r="T64" s="142">
        <f>HLOOKUP($B$5,Region_Table,19,0)</f>
        <v>0</v>
      </c>
      <c r="U64" s="520" t="s">
        <v>1156</v>
      </c>
      <c r="V64" s="521"/>
      <c r="W64" s="521"/>
      <c r="X64" s="521"/>
      <c r="Y64" s="521"/>
      <c r="Z64" s="521"/>
      <c r="AA64" s="521"/>
      <c r="AB64" s="521"/>
      <c r="AC64" s="540"/>
      <c r="AD64" s="540"/>
      <c r="AE64" s="541"/>
      <c r="AF64" s="515">
        <f>SUMIF('caseload data'!$C:$C,'custody %'!T64,'caseload data'!V:V)</f>
        <v>0</v>
      </c>
      <c r="AG64" s="532"/>
      <c r="AH64" s="533"/>
    </row>
    <row r="65" spans="2:36" x14ac:dyDescent="0.25">
      <c r="B65" s="95" t="s">
        <v>1022</v>
      </c>
      <c r="C65" s="38" t="s">
        <v>879</v>
      </c>
      <c r="D65" s="38" t="s">
        <v>880</v>
      </c>
      <c r="E65" s="38" t="s">
        <v>881</v>
      </c>
      <c r="F65" s="38" t="s">
        <v>882</v>
      </c>
      <c r="G65" s="38" t="s">
        <v>883</v>
      </c>
      <c r="H65" s="38" t="s">
        <v>884</v>
      </c>
      <c r="I65" s="38" t="s">
        <v>885</v>
      </c>
      <c r="J65" s="38" t="s">
        <v>886</v>
      </c>
      <c r="K65" s="38" t="s">
        <v>887</v>
      </c>
      <c r="L65" s="38" t="s">
        <v>888</v>
      </c>
      <c r="M65" s="38" t="s">
        <v>889</v>
      </c>
      <c r="N65" s="38" t="s">
        <v>890</v>
      </c>
      <c r="O65" s="38" t="s">
        <v>891</v>
      </c>
      <c r="P65" s="38" t="s">
        <v>892</v>
      </c>
      <c r="Q65" s="38" t="s">
        <v>893</v>
      </c>
      <c r="R65" s="38" t="s">
        <v>894</v>
      </c>
      <c r="S65" s="64"/>
      <c r="T65" s="95" t="s">
        <v>1022</v>
      </c>
      <c r="U65" s="38" t="s">
        <v>879</v>
      </c>
      <c r="V65" s="38" t="s">
        <v>880</v>
      </c>
      <c r="W65" s="38" t="s">
        <v>881</v>
      </c>
      <c r="X65" s="38" t="s">
        <v>882</v>
      </c>
      <c r="Y65" s="38" t="s">
        <v>883</v>
      </c>
      <c r="Z65" s="38" t="s">
        <v>884</v>
      </c>
      <c r="AA65" s="38" t="s">
        <v>885</v>
      </c>
      <c r="AB65" s="38" t="s">
        <v>886</v>
      </c>
      <c r="AC65" s="38" t="s">
        <v>887</v>
      </c>
      <c r="AD65" s="38" t="s">
        <v>888</v>
      </c>
      <c r="AE65" s="38" t="s">
        <v>889</v>
      </c>
      <c r="AF65" s="38" t="s">
        <v>890</v>
      </c>
      <c r="AG65" s="38" t="s">
        <v>891</v>
      </c>
      <c r="AH65" s="38" t="s">
        <v>892</v>
      </c>
      <c r="AI65" s="38" t="s">
        <v>893</v>
      </c>
      <c r="AJ65" s="38" t="s">
        <v>894</v>
      </c>
    </row>
    <row r="66" spans="2:36" x14ac:dyDescent="0.25">
      <c r="B66" s="96" t="s">
        <v>1019</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1019</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25">
      <c r="B67" s="97" t="s">
        <v>1024</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1024</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25">
      <c r="B68" s="97" t="s">
        <v>1025</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1025</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25">
      <c r="B69" s="98" t="s">
        <v>1026</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1026</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25">
      <c r="B71" s="290">
        <f>HLOOKUP($B$5,Region_Table,20,0)</f>
        <v>0</v>
      </c>
      <c r="C71" s="520" t="s">
        <v>1156</v>
      </c>
      <c r="D71" s="521"/>
      <c r="E71" s="521"/>
      <c r="F71" s="521"/>
      <c r="G71" s="521"/>
      <c r="H71" s="521"/>
      <c r="I71" s="521"/>
      <c r="J71" s="521"/>
      <c r="K71" s="521"/>
      <c r="L71" s="521"/>
      <c r="M71" s="540"/>
      <c r="N71" s="540"/>
      <c r="O71" s="541"/>
      <c r="P71" s="515">
        <f>SUMIF('caseload data'!$C:$C,'custody %'!B71,'caseload data'!V:V)</f>
        <v>0</v>
      </c>
      <c r="Q71" s="532"/>
      <c r="R71" s="533"/>
      <c r="T71" s="290">
        <f>HLOOKUP($B$5,Region_Table,21,0)</f>
        <v>0</v>
      </c>
      <c r="U71" s="520" t="s">
        <v>1156</v>
      </c>
      <c r="V71" s="521"/>
      <c r="W71" s="521"/>
      <c r="X71" s="521"/>
      <c r="Y71" s="521"/>
      <c r="Z71" s="521"/>
      <c r="AA71" s="521"/>
      <c r="AB71" s="521"/>
      <c r="AC71" s="540"/>
      <c r="AD71" s="540"/>
      <c r="AE71" s="541"/>
      <c r="AF71" s="515">
        <f>SUMIF('caseload data'!$C:$C,'custody %'!T71,'caseload data'!V:V)</f>
        <v>0</v>
      </c>
      <c r="AG71" s="532"/>
      <c r="AH71" s="533"/>
    </row>
    <row r="72" spans="2:36" x14ac:dyDescent="0.25">
      <c r="B72" s="95" t="s">
        <v>1022</v>
      </c>
      <c r="C72" s="38" t="s">
        <v>879</v>
      </c>
      <c r="D72" s="38" t="s">
        <v>880</v>
      </c>
      <c r="E72" s="38" t="s">
        <v>881</v>
      </c>
      <c r="F72" s="38" t="s">
        <v>882</v>
      </c>
      <c r="G72" s="38" t="s">
        <v>883</v>
      </c>
      <c r="H72" s="38" t="s">
        <v>884</v>
      </c>
      <c r="I72" s="38" t="s">
        <v>885</v>
      </c>
      <c r="J72" s="38" t="s">
        <v>886</v>
      </c>
      <c r="K72" s="38" t="s">
        <v>887</v>
      </c>
      <c r="L72" s="38" t="s">
        <v>888</v>
      </c>
      <c r="M72" s="38" t="s">
        <v>889</v>
      </c>
      <c r="N72" s="38" t="s">
        <v>890</v>
      </c>
      <c r="O72" s="38" t="s">
        <v>891</v>
      </c>
      <c r="P72" s="38" t="s">
        <v>892</v>
      </c>
      <c r="Q72" s="38" t="s">
        <v>893</v>
      </c>
      <c r="R72" s="38" t="s">
        <v>894</v>
      </c>
      <c r="T72" s="95" t="s">
        <v>1022</v>
      </c>
      <c r="U72" s="38" t="s">
        <v>879</v>
      </c>
      <c r="V72" s="38" t="s">
        <v>880</v>
      </c>
      <c r="W72" s="38" t="s">
        <v>881</v>
      </c>
      <c r="X72" s="38" t="s">
        <v>882</v>
      </c>
      <c r="Y72" s="38" t="s">
        <v>883</v>
      </c>
      <c r="Z72" s="38" t="s">
        <v>884</v>
      </c>
      <c r="AA72" s="38" t="s">
        <v>885</v>
      </c>
      <c r="AB72" s="38" t="s">
        <v>886</v>
      </c>
      <c r="AC72" s="38" t="s">
        <v>887</v>
      </c>
      <c r="AD72" s="38" t="s">
        <v>888</v>
      </c>
      <c r="AE72" s="38" t="s">
        <v>889</v>
      </c>
      <c r="AF72" s="38" t="s">
        <v>890</v>
      </c>
      <c r="AG72" s="38" t="s">
        <v>891</v>
      </c>
      <c r="AH72" s="38" t="s">
        <v>892</v>
      </c>
      <c r="AI72" s="38" t="s">
        <v>893</v>
      </c>
      <c r="AJ72" s="38" t="s">
        <v>894</v>
      </c>
    </row>
    <row r="73" spans="2:36" x14ac:dyDescent="0.25">
      <c r="B73" s="96" t="s">
        <v>1019</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1019</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25">
      <c r="B74" s="97" t="s">
        <v>1024</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1024</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25">
      <c r="B75" s="97" t="s">
        <v>1025</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1025</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25">
      <c r="B76" s="98" t="s">
        <v>1026</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1026</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25">
      <c r="B78" s="290">
        <f>HLOOKUP($B$5,Region_Table,22,0)</f>
        <v>0</v>
      </c>
      <c r="C78" s="520" t="s">
        <v>1156</v>
      </c>
      <c r="D78" s="521"/>
      <c r="E78" s="521"/>
      <c r="F78" s="521"/>
      <c r="G78" s="521"/>
      <c r="H78" s="521"/>
      <c r="I78" s="521"/>
      <c r="J78" s="521"/>
      <c r="K78" s="521"/>
      <c r="L78" s="521"/>
      <c r="M78" s="540"/>
      <c r="N78" s="540"/>
      <c r="O78" s="541"/>
      <c r="P78" s="515">
        <f>SUMIF('caseload data'!$C:$C,'custody %'!B78,'caseload data'!V:V)</f>
        <v>0</v>
      </c>
      <c r="Q78" s="532"/>
      <c r="R78" s="533"/>
      <c r="T78" s="290">
        <f>HLOOKUP($B$5,Region_Table,23,0)</f>
        <v>0</v>
      </c>
      <c r="U78" s="520" t="s">
        <v>1156</v>
      </c>
      <c r="V78" s="521"/>
      <c r="W78" s="521"/>
      <c r="X78" s="521"/>
      <c r="Y78" s="521"/>
      <c r="Z78" s="521"/>
      <c r="AA78" s="521"/>
      <c r="AB78" s="521"/>
      <c r="AC78" s="540"/>
      <c r="AD78" s="540"/>
      <c r="AE78" s="541"/>
      <c r="AF78" s="515">
        <f>SUMIF('caseload data'!$C:$C,'custody %'!T78,'caseload data'!V:V)</f>
        <v>0</v>
      </c>
      <c r="AG78" s="532"/>
      <c r="AH78" s="533"/>
    </row>
    <row r="79" spans="2:36" x14ac:dyDescent="0.25">
      <c r="B79" s="95" t="s">
        <v>1022</v>
      </c>
      <c r="C79" s="38" t="s">
        <v>879</v>
      </c>
      <c r="D79" s="38" t="s">
        <v>880</v>
      </c>
      <c r="E79" s="38" t="s">
        <v>881</v>
      </c>
      <c r="F79" s="38" t="s">
        <v>882</v>
      </c>
      <c r="G79" s="38" t="s">
        <v>883</v>
      </c>
      <c r="H79" s="38" t="s">
        <v>884</v>
      </c>
      <c r="I79" s="38" t="s">
        <v>885</v>
      </c>
      <c r="J79" s="38" t="s">
        <v>886</v>
      </c>
      <c r="K79" s="38" t="s">
        <v>887</v>
      </c>
      <c r="L79" s="38" t="s">
        <v>888</v>
      </c>
      <c r="M79" s="38" t="s">
        <v>889</v>
      </c>
      <c r="N79" s="38" t="s">
        <v>890</v>
      </c>
      <c r="O79" s="38" t="s">
        <v>891</v>
      </c>
      <c r="P79" s="38" t="s">
        <v>892</v>
      </c>
      <c r="Q79" s="38" t="s">
        <v>893</v>
      </c>
      <c r="R79" s="38" t="s">
        <v>894</v>
      </c>
      <c r="T79" s="95" t="s">
        <v>1022</v>
      </c>
      <c r="U79" s="38" t="s">
        <v>879</v>
      </c>
      <c r="V79" s="38" t="s">
        <v>880</v>
      </c>
      <c r="W79" s="38" t="s">
        <v>881</v>
      </c>
      <c r="X79" s="38" t="s">
        <v>882</v>
      </c>
      <c r="Y79" s="38" t="s">
        <v>883</v>
      </c>
      <c r="Z79" s="38" t="s">
        <v>884</v>
      </c>
      <c r="AA79" s="38" t="s">
        <v>885</v>
      </c>
      <c r="AB79" s="38" t="s">
        <v>886</v>
      </c>
      <c r="AC79" s="38" t="s">
        <v>887</v>
      </c>
      <c r="AD79" s="38" t="s">
        <v>888</v>
      </c>
      <c r="AE79" s="38" t="s">
        <v>889</v>
      </c>
      <c r="AF79" s="38" t="s">
        <v>890</v>
      </c>
      <c r="AG79" s="38" t="s">
        <v>891</v>
      </c>
      <c r="AH79" s="38" t="s">
        <v>892</v>
      </c>
      <c r="AI79" s="38" t="s">
        <v>893</v>
      </c>
      <c r="AJ79" s="38" t="s">
        <v>894</v>
      </c>
    </row>
    <row r="80" spans="2:36" x14ac:dyDescent="0.25">
      <c r="B80" s="96" t="s">
        <v>1019</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1019</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25">
      <c r="B81" s="97" t="s">
        <v>1024</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1024</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25">
      <c r="B82" s="97" t="s">
        <v>1025</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1025</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25">
      <c r="B83" s="98" t="s">
        <v>1026</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1026</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25">
      <c r="B85" s="290">
        <f>HLOOKUP($B$5,Region_Table,24,0)</f>
        <v>0</v>
      </c>
      <c r="C85" s="520" t="s">
        <v>1156</v>
      </c>
      <c r="D85" s="521"/>
      <c r="E85" s="521"/>
      <c r="F85" s="521"/>
      <c r="G85" s="521"/>
      <c r="H85" s="521"/>
      <c r="I85" s="521"/>
      <c r="J85" s="521"/>
      <c r="K85" s="521"/>
      <c r="L85" s="521"/>
      <c r="M85" s="540"/>
      <c r="N85" s="540"/>
      <c r="O85" s="541"/>
      <c r="P85" s="515">
        <f>SUMIF('caseload data'!$C:$C,'custody %'!B85,'caseload data'!V:V)</f>
        <v>0</v>
      </c>
      <c r="Q85" s="532"/>
      <c r="R85" s="533"/>
      <c r="T85" s="290">
        <f>HLOOKUP($B$5,Region_Table,25,0)</f>
        <v>0</v>
      </c>
      <c r="U85" s="520" t="s">
        <v>1156</v>
      </c>
      <c r="V85" s="521"/>
      <c r="W85" s="521"/>
      <c r="X85" s="521"/>
      <c r="Y85" s="521"/>
      <c r="Z85" s="521"/>
      <c r="AA85" s="521"/>
      <c r="AB85" s="521"/>
      <c r="AC85" s="540"/>
      <c r="AD85" s="540"/>
      <c r="AE85" s="541"/>
      <c r="AF85" s="515">
        <f>SUMIF('caseload data'!$C:$C,'custody %'!T85,'caseload data'!V:V)</f>
        <v>0</v>
      </c>
      <c r="AG85" s="532"/>
      <c r="AH85" s="533"/>
    </row>
    <row r="86" spans="2:36" x14ac:dyDescent="0.25">
      <c r="B86" s="95" t="s">
        <v>1022</v>
      </c>
      <c r="C86" s="38" t="s">
        <v>879</v>
      </c>
      <c r="D86" s="38" t="s">
        <v>880</v>
      </c>
      <c r="E86" s="38" t="s">
        <v>881</v>
      </c>
      <c r="F86" s="38" t="s">
        <v>882</v>
      </c>
      <c r="G86" s="38" t="s">
        <v>883</v>
      </c>
      <c r="H86" s="38" t="s">
        <v>884</v>
      </c>
      <c r="I86" s="38" t="s">
        <v>885</v>
      </c>
      <c r="J86" s="38" t="s">
        <v>886</v>
      </c>
      <c r="K86" s="38" t="s">
        <v>887</v>
      </c>
      <c r="L86" s="38" t="s">
        <v>888</v>
      </c>
      <c r="M86" s="38" t="s">
        <v>889</v>
      </c>
      <c r="N86" s="38" t="s">
        <v>890</v>
      </c>
      <c r="O86" s="38" t="s">
        <v>891</v>
      </c>
      <c r="P86" s="38" t="s">
        <v>892</v>
      </c>
      <c r="Q86" s="38" t="s">
        <v>893</v>
      </c>
      <c r="R86" s="38" t="s">
        <v>894</v>
      </c>
      <c r="T86" s="95" t="s">
        <v>1022</v>
      </c>
      <c r="U86" s="38" t="s">
        <v>879</v>
      </c>
      <c r="V86" s="38" t="s">
        <v>880</v>
      </c>
      <c r="W86" s="38" t="s">
        <v>881</v>
      </c>
      <c r="X86" s="38" t="s">
        <v>882</v>
      </c>
      <c r="Y86" s="38" t="s">
        <v>883</v>
      </c>
      <c r="Z86" s="38" t="s">
        <v>884</v>
      </c>
      <c r="AA86" s="38" t="s">
        <v>885</v>
      </c>
      <c r="AB86" s="38" t="s">
        <v>886</v>
      </c>
      <c r="AC86" s="38" t="s">
        <v>887</v>
      </c>
      <c r="AD86" s="38" t="s">
        <v>888</v>
      </c>
      <c r="AE86" s="38" t="s">
        <v>889</v>
      </c>
      <c r="AF86" s="38" t="s">
        <v>890</v>
      </c>
      <c r="AG86" s="38" t="s">
        <v>891</v>
      </c>
      <c r="AH86" s="38" t="s">
        <v>892</v>
      </c>
      <c r="AI86" s="38" t="s">
        <v>893</v>
      </c>
      <c r="AJ86" s="38" t="s">
        <v>894</v>
      </c>
    </row>
    <row r="87" spans="2:36" x14ac:dyDescent="0.25">
      <c r="B87" s="96" t="s">
        <v>1019</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1019</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25">
      <c r="B88" s="97" t="s">
        <v>1024</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1024</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25">
      <c r="B89" s="97" t="s">
        <v>1025</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1025</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25">
      <c r="B90" s="98" t="s">
        <v>1026</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1026</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25">
      <c r="B92" s="290">
        <f>HLOOKUP($B$5,Region_Table,26,0)</f>
        <v>0</v>
      </c>
      <c r="C92" s="520" t="s">
        <v>1156</v>
      </c>
      <c r="D92" s="521"/>
      <c r="E92" s="521"/>
      <c r="F92" s="521"/>
      <c r="G92" s="521"/>
      <c r="H92" s="521"/>
      <c r="I92" s="521"/>
      <c r="J92" s="521"/>
      <c r="K92" s="521"/>
      <c r="L92" s="521"/>
      <c r="M92" s="540"/>
      <c r="N92" s="540"/>
      <c r="O92" s="541"/>
      <c r="P92" s="515">
        <f>SUMIF('caseload data'!$C:$C,'custody %'!B92,'caseload data'!V:V)</f>
        <v>0</v>
      </c>
      <c r="Q92" s="532"/>
      <c r="R92" s="533"/>
      <c r="T92" s="290">
        <f>HLOOKUP($B$5,Region_Table,27,0)</f>
        <v>0</v>
      </c>
      <c r="U92" s="520" t="s">
        <v>1156</v>
      </c>
      <c r="V92" s="521"/>
      <c r="W92" s="521"/>
      <c r="X92" s="521"/>
      <c r="Y92" s="521"/>
      <c r="Z92" s="521"/>
      <c r="AA92" s="521"/>
      <c r="AB92" s="521"/>
      <c r="AC92" s="540"/>
      <c r="AD92" s="540"/>
      <c r="AE92" s="541"/>
      <c r="AF92" s="515">
        <f>SUMIF('caseload data'!$C:$C,'custody %'!T92,'caseload data'!V:V)</f>
        <v>0</v>
      </c>
      <c r="AG92" s="532"/>
      <c r="AH92" s="533"/>
    </row>
    <row r="93" spans="2:36" x14ac:dyDescent="0.25">
      <c r="B93" s="95" t="s">
        <v>1022</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T93" s="95" t="s">
        <v>1022</v>
      </c>
      <c r="U93" s="38" t="s">
        <v>879</v>
      </c>
      <c r="V93" s="38" t="s">
        <v>880</v>
      </c>
      <c r="W93" s="38" t="s">
        <v>881</v>
      </c>
      <c r="X93" s="38" t="s">
        <v>882</v>
      </c>
      <c r="Y93" s="38" t="s">
        <v>883</v>
      </c>
      <c r="Z93" s="38" t="s">
        <v>884</v>
      </c>
      <c r="AA93" s="38" t="s">
        <v>885</v>
      </c>
      <c r="AB93" s="38" t="s">
        <v>886</v>
      </c>
      <c r="AC93" s="38" t="s">
        <v>887</v>
      </c>
      <c r="AD93" s="38" t="s">
        <v>888</v>
      </c>
      <c r="AE93" s="38" t="s">
        <v>889</v>
      </c>
      <c r="AF93" s="38" t="s">
        <v>890</v>
      </c>
      <c r="AG93" s="38" t="s">
        <v>891</v>
      </c>
      <c r="AH93" s="38" t="s">
        <v>892</v>
      </c>
      <c r="AI93" s="38" t="s">
        <v>893</v>
      </c>
      <c r="AJ93" s="38" t="s">
        <v>894</v>
      </c>
    </row>
    <row r="94" spans="2:36" x14ac:dyDescent="0.25">
      <c r="B94" s="96" t="s">
        <v>1019</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1019</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25">
      <c r="B95" s="97" t="s">
        <v>1024</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1024</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25">
      <c r="B96" s="97" t="s">
        <v>1025</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1025</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25">
      <c r="B97" s="98" t="s">
        <v>1026</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1026</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25">
      <c r="B99" s="290">
        <f>HLOOKUP($B$5,Region_Table,28,0)</f>
        <v>0</v>
      </c>
      <c r="C99" s="520" t="s">
        <v>1156</v>
      </c>
      <c r="D99" s="521"/>
      <c r="E99" s="521"/>
      <c r="F99" s="521"/>
      <c r="G99" s="521"/>
      <c r="H99" s="521"/>
      <c r="I99" s="521"/>
      <c r="J99" s="521"/>
      <c r="K99" s="521"/>
      <c r="L99" s="521"/>
      <c r="M99" s="540"/>
      <c r="N99" s="540"/>
      <c r="O99" s="541"/>
      <c r="P99" s="515">
        <f>SUMIF('caseload data'!$C:$C,'custody %'!B99,'caseload data'!V:V)</f>
        <v>0</v>
      </c>
      <c r="Q99" s="532"/>
      <c r="R99" s="533"/>
    </row>
    <row r="100" spans="2:36" x14ac:dyDescent="0.25">
      <c r="B100" s="95" t="s">
        <v>1022</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row>
    <row r="101" spans="2:36" x14ac:dyDescent="0.25">
      <c r="B101" s="96" t="s">
        <v>1019</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25">
      <c r="B102" s="97" t="s">
        <v>1024</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25">
      <c r="B103" s="97" t="s">
        <v>1025</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25">
      <c r="B104" s="98" t="s">
        <v>1026</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6" priority="927" operator="equal">
      <formula>0</formula>
    </cfRule>
    <cfRule type="cellIs" dxfId="2185" priority="928" operator="notEqual">
      <formula>0</formula>
    </cfRule>
  </conditionalFormatting>
  <conditionalFormatting sqref="D11:D12">
    <cfRule type="cellIs" dxfId="2184" priority="925" operator="equal">
      <formula>0</formula>
    </cfRule>
    <cfRule type="cellIs" dxfId="2183" priority="926" operator="notEqual">
      <formula>0</formula>
    </cfRule>
  </conditionalFormatting>
  <conditionalFormatting sqref="E11:E12">
    <cfRule type="cellIs" dxfId="2182" priority="923" operator="equal">
      <formula>0</formula>
    </cfRule>
    <cfRule type="cellIs" dxfId="2181" priority="924" operator="notEqual">
      <formula>0</formula>
    </cfRule>
  </conditionalFormatting>
  <conditionalFormatting sqref="F11:F12">
    <cfRule type="cellIs" dxfId="2180" priority="921" operator="equal">
      <formula>0</formula>
    </cfRule>
    <cfRule type="cellIs" dxfId="2179" priority="922" operator="notEqual">
      <formula>0</formula>
    </cfRule>
  </conditionalFormatting>
  <conditionalFormatting sqref="G11:G12">
    <cfRule type="cellIs" dxfId="2178" priority="919" operator="equal">
      <formula>0</formula>
    </cfRule>
    <cfRule type="cellIs" dxfId="2177" priority="920" operator="notEqual">
      <formula>0</formula>
    </cfRule>
  </conditionalFormatting>
  <conditionalFormatting sqref="H11:H12">
    <cfRule type="cellIs" dxfId="2176" priority="917" operator="equal">
      <formula>0</formula>
    </cfRule>
    <cfRule type="cellIs" dxfId="2175" priority="918" operator="notEqual">
      <formula>0</formula>
    </cfRule>
  </conditionalFormatting>
  <conditionalFormatting sqref="I11:I12">
    <cfRule type="cellIs" dxfId="2174" priority="915" operator="equal">
      <formula>0</formula>
    </cfRule>
    <cfRule type="cellIs" dxfId="2173" priority="916" operator="notEqual">
      <formula>0</formula>
    </cfRule>
  </conditionalFormatting>
  <conditionalFormatting sqref="J11:J12">
    <cfRule type="cellIs" dxfId="2172" priority="913" operator="equal">
      <formula>0</formula>
    </cfRule>
    <cfRule type="cellIs" dxfId="2171" priority="914" operator="notEqual">
      <formula>0</formula>
    </cfRule>
  </conditionalFormatting>
  <conditionalFormatting sqref="O10">
    <cfRule type="cellIs" dxfId="2170" priority="911" operator="equal">
      <formula>0</formula>
    </cfRule>
    <cfRule type="cellIs" dxfId="2169" priority="912" operator="notEqual">
      <formula>0</formula>
    </cfRule>
  </conditionalFormatting>
  <conditionalFormatting sqref="O13">
    <cfRule type="cellIs" dxfId="2168" priority="909" operator="equal">
      <formula>0</formula>
    </cfRule>
    <cfRule type="cellIs" dxfId="2167" priority="910" operator="notEqual">
      <formula>0</formula>
    </cfRule>
  </conditionalFormatting>
  <conditionalFormatting sqref="P10">
    <cfRule type="cellIs" dxfId="2166" priority="907" operator="equal">
      <formula>0</formula>
    </cfRule>
    <cfRule type="cellIs" dxfId="2165" priority="908" operator="notEqual">
      <formula>0</formula>
    </cfRule>
  </conditionalFormatting>
  <conditionalFormatting sqref="P13">
    <cfRule type="cellIs" dxfId="2164" priority="905" operator="equal">
      <formula>0</formula>
    </cfRule>
    <cfRule type="cellIs" dxfId="2163" priority="906" operator="notEqual">
      <formula>0</formula>
    </cfRule>
  </conditionalFormatting>
  <conditionalFormatting sqref="Q10">
    <cfRule type="cellIs" dxfId="2162" priority="903" operator="equal">
      <formula>0</formula>
    </cfRule>
    <cfRule type="cellIs" dxfId="2161" priority="904" operator="notEqual">
      <formula>0</formula>
    </cfRule>
  </conditionalFormatting>
  <conditionalFormatting sqref="Q13">
    <cfRule type="cellIs" dxfId="2160" priority="901" operator="equal">
      <formula>0</formula>
    </cfRule>
    <cfRule type="cellIs" dxfId="2159" priority="902" operator="notEqual">
      <formula>0</formula>
    </cfRule>
  </conditionalFormatting>
  <conditionalFormatting sqref="R10">
    <cfRule type="cellIs" dxfId="2158" priority="899" operator="equal">
      <formula>0</formula>
    </cfRule>
    <cfRule type="cellIs" dxfId="2157" priority="900" operator="notEqual">
      <formula>0</formula>
    </cfRule>
  </conditionalFormatting>
  <conditionalFormatting sqref="R13">
    <cfRule type="cellIs" dxfId="2156" priority="897" operator="equal">
      <formula>0</formula>
    </cfRule>
    <cfRule type="cellIs" dxfId="2155" priority="898" operator="notEqual">
      <formula>0</formula>
    </cfRule>
  </conditionalFormatting>
  <conditionalFormatting sqref="C18:C19">
    <cfRule type="cellIs" dxfId="2154" priority="895" operator="equal">
      <formula>0</formula>
    </cfRule>
    <cfRule type="cellIs" dxfId="2153" priority="896" operator="notEqual">
      <formula>0</formula>
    </cfRule>
  </conditionalFormatting>
  <conditionalFormatting sqref="D18:D19">
    <cfRule type="cellIs" dxfId="2152" priority="893" operator="equal">
      <formula>0</formula>
    </cfRule>
    <cfRule type="cellIs" dxfId="2151" priority="894" operator="notEqual">
      <formula>0</formula>
    </cfRule>
  </conditionalFormatting>
  <conditionalFormatting sqref="E18:E19">
    <cfRule type="cellIs" dxfId="2150" priority="891" operator="equal">
      <formula>0</formula>
    </cfRule>
    <cfRule type="cellIs" dxfId="2149" priority="892" operator="notEqual">
      <formula>0</formula>
    </cfRule>
  </conditionalFormatting>
  <conditionalFormatting sqref="F18:F19">
    <cfRule type="cellIs" dxfId="2148" priority="889" operator="equal">
      <formula>0</formula>
    </cfRule>
    <cfRule type="cellIs" dxfId="2147" priority="890" operator="notEqual">
      <formula>0</formula>
    </cfRule>
  </conditionalFormatting>
  <conditionalFormatting sqref="G18:G19">
    <cfRule type="cellIs" dxfId="2146" priority="887" operator="equal">
      <formula>0</formula>
    </cfRule>
    <cfRule type="cellIs" dxfId="2145" priority="888" operator="notEqual">
      <formula>0</formula>
    </cfRule>
  </conditionalFormatting>
  <conditionalFormatting sqref="H18:H19">
    <cfRule type="cellIs" dxfId="2144" priority="885" operator="equal">
      <formula>0</formula>
    </cfRule>
    <cfRule type="cellIs" dxfId="2143" priority="886" operator="notEqual">
      <formula>0</formula>
    </cfRule>
  </conditionalFormatting>
  <conditionalFormatting sqref="I18:I19">
    <cfRule type="cellIs" dxfId="2142" priority="883" operator="equal">
      <formula>0</formula>
    </cfRule>
    <cfRule type="cellIs" dxfId="2141" priority="884" operator="notEqual">
      <formula>0</formula>
    </cfRule>
  </conditionalFormatting>
  <conditionalFormatting sqref="J18:J19">
    <cfRule type="cellIs" dxfId="2140" priority="881" operator="equal">
      <formula>0</formula>
    </cfRule>
    <cfRule type="cellIs" dxfId="2139" priority="882" operator="notEqual">
      <formula>0</formula>
    </cfRule>
  </conditionalFormatting>
  <conditionalFormatting sqref="O17">
    <cfRule type="cellIs" dxfId="2138" priority="879" operator="equal">
      <formula>0</formula>
    </cfRule>
    <cfRule type="cellIs" dxfId="2137" priority="880" operator="notEqual">
      <formula>0</formula>
    </cfRule>
  </conditionalFormatting>
  <conditionalFormatting sqref="O20">
    <cfRule type="cellIs" dxfId="2136" priority="877" operator="equal">
      <formula>0</formula>
    </cfRule>
    <cfRule type="cellIs" dxfId="2135" priority="878" operator="notEqual">
      <formula>0</formula>
    </cfRule>
  </conditionalFormatting>
  <conditionalFormatting sqref="P17">
    <cfRule type="cellIs" dxfId="2134" priority="875" operator="equal">
      <formula>0</formula>
    </cfRule>
    <cfRule type="cellIs" dxfId="2133" priority="876" operator="notEqual">
      <formula>0</formula>
    </cfRule>
  </conditionalFormatting>
  <conditionalFormatting sqref="P20">
    <cfRule type="cellIs" dxfId="2132" priority="873" operator="equal">
      <formula>0</formula>
    </cfRule>
    <cfRule type="cellIs" dxfId="2131" priority="874" operator="notEqual">
      <formula>0</formula>
    </cfRule>
  </conditionalFormatting>
  <conditionalFormatting sqref="Q17">
    <cfRule type="cellIs" dxfId="2130" priority="871" operator="equal">
      <formula>0</formula>
    </cfRule>
    <cfRule type="cellIs" dxfId="2129" priority="872" operator="notEqual">
      <formula>0</formula>
    </cfRule>
  </conditionalFormatting>
  <conditionalFormatting sqref="Q20">
    <cfRule type="cellIs" dxfId="2128" priority="869" operator="equal">
      <formula>0</formula>
    </cfRule>
    <cfRule type="cellIs" dxfId="2127" priority="870" operator="notEqual">
      <formula>0</formula>
    </cfRule>
  </conditionalFormatting>
  <conditionalFormatting sqref="R17">
    <cfRule type="cellIs" dxfId="2126" priority="867" operator="equal">
      <formula>0</formula>
    </cfRule>
    <cfRule type="cellIs" dxfId="2125" priority="868" operator="notEqual">
      <formula>0</formula>
    </cfRule>
  </conditionalFormatting>
  <conditionalFormatting sqref="R20">
    <cfRule type="cellIs" dxfId="2124" priority="865" operator="equal">
      <formula>0</formula>
    </cfRule>
    <cfRule type="cellIs" dxfId="2123" priority="866" operator="notEqual">
      <formula>0</formula>
    </cfRule>
  </conditionalFormatting>
  <conditionalFormatting sqref="C25:C26">
    <cfRule type="cellIs" dxfId="2122" priority="863" operator="equal">
      <formula>0</formula>
    </cfRule>
    <cfRule type="cellIs" dxfId="2121" priority="864" operator="notEqual">
      <formula>0</formula>
    </cfRule>
  </conditionalFormatting>
  <conditionalFormatting sqref="D25:D26">
    <cfRule type="cellIs" dxfId="2120" priority="861" operator="equal">
      <formula>0</formula>
    </cfRule>
    <cfRule type="cellIs" dxfId="2119" priority="862" operator="notEqual">
      <formula>0</formula>
    </cfRule>
  </conditionalFormatting>
  <conditionalFormatting sqref="E25:E26">
    <cfRule type="cellIs" dxfId="2118" priority="859" operator="equal">
      <formula>0</formula>
    </cfRule>
    <cfRule type="cellIs" dxfId="2117" priority="860" operator="notEqual">
      <formula>0</formula>
    </cfRule>
  </conditionalFormatting>
  <conditionalFormatting sqref="F25:F26">
    <cfRule type="cellIs" dxfId="2116" priority="857" operator="equal">
      <formula>0</formula>
    </cfRule>
    <cfRule type="cellIs" dxfId="2115" priority="858" operator="notEqual">
      <formula>0</formula>
    </cfRule>
  </conditionalFormatting>
  <conditionalFormatting sqref="G25:G26">
    <cfRule type="cellIs" dxfId="2114" priority="855" operator="equal">
      <formula>0</formula>
    </cfRule>
    <cfRule type="cellIs" dxfId="2113" priority="856" operator="notEqual">
      <formula>0</formula>
    </cfRule>
  </conditionalFormatting>
  <conditionalFormatting sqref="H25:H26">
    <cfRule type="cellIs" dxfId="2112" priority="853" operator="equal">
      <formula>0</formula>
    </cfRule>
    <cfRule type="cellIs" dxfId="2111" priority="854" operator="notEqual">
      <formula>0</formula>
    </cfRule>
  </conditionalFormatting>
  <conditionalFormatting sqref="I25:I26">
    <cfRule type="cellIs" dxfId="2110" priority="851" operator="equal">
      <formula>0</formula>
    </cfRule>
    <cfRule type="cellIs" dxfId="2109" priority="852" operator="notEqual">
      <formula>0</formula>
    </cfRule>
  </conditionalFormatting>
  <conditionalFormatting sqref="J25:J26">
    <cfRule type="cellIs" dxfId="2108" priority="849" operator="equal">
      <formula>0</formula>
    </cfRule>
    <cfRule type="cellIs" dxfId="2107" priority="850" operator="notEqual">
      <formula>0</formula>
    </cfRule>
  </conditionalFormatting>
  <conditionalFormatting sqref="O24">
    <cfRule type="cellIs" dxfId="2106" priority="847" operator="equal">
      <formula>0</formula>
    </cfRule>
    <cfRule type="cellIs" dxfId="2105" priority="848" operator="notEqual">
      <formula>0</formula>
    </cfRule>
  </conditionalFormatting>
  <conditionalFormatting sqref="O27">
    <cfRule type="cellIs" dxfId="2104" priority="845" operator="equal">
      <formula>0</formula>
    </cfRule>
    <cfRule type="cellIs" dxfId="2103" priority="846" operator="notEqual">
      <formula>0</formula>
    </cfRule>
  </conditionalFormatting>
  <conditionalFormatting sqref="P24">
    <cfRule type="cellIs" dxfId="2102" priority="843" operator="equal">
      <formula>0</formula>
    </cfRule>
    <cfRule type="cellIs" dxfId="2101" priority="844" operator="notEqual">
      <formula>0</formula>
    </cfRule>
  </conditionalFormatting>
  <conditionalFormatting sqref="P27">
    <cfRule type="cellIs" dxfId="2100" priority="841" operator="equal">
      <formula>0</formula>
    </cfRule>
    <cfRule type="cellIs" dxfId="2099" priority="842" operator="notEqual">
      <formula>0</formula>
    </cfRule>
  </conditionalFormatting>
  <conditionalFormatting sqref="Q24">
    <cfRule type="cellIs" dxfId="2098" priority="839" operator="equal">
      <formula>0</formula>
    </cfRule>
    <cfRule type="cellIs" dxfId="2097" priority="840" operator="notEqual">
      <formula>0</formula>
    </cfRule>
  </conditionalFormatting>
  <conditionalFormatting sqref="Q27">
    <cfRule type="cellIs" dxfId="2096" priority="837" operator="equal">
      <formula>0</formula>
    </cfRule>
    <cfRule type="cellIs" dxfId="2095" priority="838" operator="notEqual">
      <formula>0</formula>
    </cfRule>
  </conditionalFormatting>
  <conditionalFormatting sqref="R24">
    <cfRule type="cellIs" dxfId="2094" priority="835" operator="equal">
      <formula>0</formula>
    </cfRule>
    <cfRule type="cellIs" dxfId="2093" priority="836" operator="notEqual">
      <formula>0</formula>
    </cfRule>
  </conditionalFormatting>
  <conditionalFormatting sqref="R27">
    <cfRule type="cellIs" dxfId="2092" priority="833" operator="equal">
      <formula>0</formula>
    </cfRule>
    <cfRule type="cellIs" dxfId="2091" priority="834" operator="notEqual">
      <formula>0</formula>
    </cfRule>
  </conditionalFormatting>
  <conditionalFormatting sqref="C32:C33">
    <cfRule type="cellIs" dxfId="2090" priority="831" operator="equal">
      <formula>0</formula>
    </cfRule>
    <cfRule type="cellIs" dxfId="2089" priority="832" operator="notEqual">
      <formula>0</formula>
    </cfRule>
  </conditionalFormatting>
  <conditionalFormatting sqref="D32:D33">
    <cfRule type="cellIs" dxfId="2088" priority="829" operator="equal">
      <formula>0</formula>
    </cfRule>
    <cfRule type="cellIs" dxfId="2087" priority="830" operator="notEqual">
      <formula>0</formula>
    </cfRule>
  </conditionalFormatting>
  <conditionalFormatting sqref="E32:E33">
    <cfRule type="cellIs" dxfId="2086" priority="827" operator="equal">
      <formula>0</formula>
    </cfRule>
    <cfRule type="cellIs" dxfId="2085" priority="828" operator="notEqual">
      <formula>0</formula>
    </cfRule>
  </conditionalFormatting>
  <conditionalFormatting sqref="F32:F33">
    <cfRule type="cellIs" dxfId="2084" priority="825" operator="equal">
      <formula>0</formula>
    </cfRule>
    <cfRule type="cellIs" dxfId="2083" priority="826" operator="notEqual">
      <formula>0</formula>
    </cfRule>
  </conditionalFormatting>
  <conditionalFormatting sqref="G32:G33">
    <cfRule type="cellIs" dxfId="2082" priority="823" operator="equal">
      <formula>0</formula>
    </cfRule>
    <cfRule type="cellIs" dxfId="2081" priority="824" operator="notEqual">
      <formula>0</formula>
    </cfRule>
  </conditionalFormatting>
  <conditionalFormatting sqref="H32:H33">
    <cfRule type="cellIs" dxfId="2080" priority="821" operator="equal">
      <formula>0</formula>
    </cfRule>
    <cfRule type="cellIs" dxfId="2079" priority="822" operator="notEqual">
      <formula>0</formula>
    </cfRule>
  </conditionalFormatting>
  <conditionalFormatting sqref="I32:I33">
    <cfRule type="cellIs" dxfId="2078" priority="819" operator="equal">
      <formula>0</formula>
    </cfRule>
    <cfRule type="cellIs" dxfId="2077" priority="820" operator="notEqual">
      <formula>0</formula>
    </cfRule>
  </conditionalFormatting>
  <conditionalFormatting sqref="J32:J33">
    <cfRule type="cellIs" dxfId="2076" priority="817" operator="equal">
      <formula>0</formula>
    </cfRule>
    <cfRule type="cellIs" dxfId="2075" priority="818" operator="notEqual">
      <formula>0</formula>
    </cfRule>
  </conditionalFormatting>
  <conditionalFormatting sqref="O31">
    <cfRule type="cellIs" dxfId="2074" priority="815" operator="equal">
      <formula>0</formula>
    </cfRule>
    <cfRule type="cellIs" dxfId="2073" priority="816" operator="notEqual">
      <formula>0</formula>
    </cfRule>
  </conditionalFormatting>
  <conditionalFormatting sqref="O34">
    <cfRule type="cellIs" dxfId="2072" priority="813" operator="equal">
      <formula>0</formula>
    </cfRule>
    <cfRule type="cellIs" dxfId="2071" priority="814" operator="notEqual">
      <formula>0</formula>
    </cfRule>
  </conditionalFormatting>
  <conditionalFormatting sqref="P31">
    <cfRule type="cellIs" dxfId="2070" priority="811" operator="equal">
      <formula>0</formula>
    </cfRule>
    <cfRule type="cellIs" dxfId="2069" priority="812" operator="notEqual">
      <formula>0</formula>
    </cfRule>
  </conditionalFormatting>
  <conditionalFormatting sqref="P34">
    <cfRule type="cellIs" dxfId="2068" priority="809" operator="equal">
      <formula>0</formula>
    </cfRule>
    <cfRule type="cellIs" dxfId="2067" priority="810" operator="notEqual">
      <formula>0</formula>
    </cfRule>
  </conditionalFormatting>
  <conditionalFormatting sqref="Q31">
    <cfRule type="cellIs" dxfId="2066" priority="807" operator="equal">
      <formula>0</formula>
    </cfRule>
    <cfRule type="cellIs" dxfId="2065" priority="808" operator="notEqual">
      <formula>0</formula>
    </cfRule>
  </conditionalFormatting>
  <conditionalFormatting sqref="Q34">
    <cfRule type="cellIs" dxfId="2064" priority="805" operator="equal">
      <formula>0</formula>
    </cfRule>
    <cfRule type="cellIs" dxfId="2063" priority="806" operator="notEqual">
      <formula>0</formula>
    </cfRule>
  </conditionalFormatting>
  <conditionalFormatting sqref="R31">
    <cfRule type="cellIs" dxfId="2062" priority="803" operator="equal">
      <formula>0</formula>
    </cfRule>
    <cfRule type="cellIs" dxfId="2061" priority="804" operator="notEqual">
      <formula>0</formula>
    </cfRule>
  </conditionalFormatting>
  <conditionalFormatting sqref="R34">
    <cfRule type="cellIs" dxfId="2060" priority="801" operator="equal">
      <formula>0</formula>
    </cfRule>
    <cfRule type="cellIs" dxfId="2059" priority="802" operator="notEqual">
      <formula>0</formula>
    </cfRule>
  </conditionalFormatting>
  <conditionalFormatting sqref="C39:C40">
    <cfRule type="cellIs" dxfId="2058" priority="799" operator="equal">
      <formula>0</formula>
    </cfRule>
    <cfRule type="cellIs" dxfId="2057" priority="800" operator="notEqual">
      <formula>0</formula>
    </cfRule>
  </conditionalFormatting>
  <conditionalFormatting sqref="D39:D40">
    <cfRule type="cellIs" dxfId="2056" priority="797" operator="equal">
      <formula>0</formula>
    </cfRule>
    <cfRule type="cellIs" dxfId="2055" priority="798" operator="notEqual">
      <formula>0</formula>
    </cfRule>
  </conditionalFormatting>
  <conditionalFormatting sqref="E39:E40">
    <cfRule type="cellIs" dxfId="2054" priority="795" operator="equal">
      <formula>0</formula>
    </cfRule>
    <cfRule type="cellIs" dxfId="2053" priority="796" operator="notEqual">
      <formula>0</formula>
    </cfRule>
  </conditionalFormatting>
  <conditionalFormatting sqref="F39:F40">
    <cfRule type="cellIs" dxfId="2052" priority="793" operator="equal">
      <formula>0</formula>
    </cfRule>
    <cfRule type="cellIs" dxfId="2051" priority="794" operator="notEqual">
      <formula>0</formula>
    </cfRule>
  </conditionalFormatting>
  <conditionalFormatting sqref="G39:G40">
    <cfRule type="cellIs" dxfId="2050" priority="791" operator="equal">
      <formula>0</formula>
    </cfRule>
    <cfRule type="cellIs" dxfId="2049" priority="792" operator="notEqual">
      <formula>0</formula>
    </cfRule>
  </conditionalFormatting>
  <conditionalFormatting sqref="H39:H40">
    <cfRule type="cellIs" dxfId="2048" priority="789" operator="equal">
      <formula>0</formula>
    </cfRule>
    <cfRule type="cellIs" dxfId="2047" priority="790" operator="notEqual">
      <formula>0</formula>
    </cfRule>
  </conditionalFormatting>
  <conditionalFormatting sqref="I39:I40">
    <cfRule type="cellIs" dxfId="2046" priority="787" operator="equal">
      <formula>0</formula>
    </cfRule>
    <cfRule type="cellIs" dxfId="2045" priority="788" operator="notEqual">
      <formula>0</formula>
    </cfRule>
  </conditionalFormatting>
  <conditionalFormatting sqref="J39:J40">
    <cfRule type="cellIs" dxfId="2044" priority="785" operator="equal">
      <formula>0</formula>
    </cfRule>
    <cfRule type="cellIs" dxfId="2043" priority="786" operator="notEqual">
      <formula>0</formula>
    </cfRule>
  </conditionalFormatting>
  <conditionalFormatting sqref="O38">
    <cfRule type="cellIs" dxfId="2042" priority="783" operator="equal">
      <formula>0</formula>
    </cfRule>
    <cfRule type="cellIs" dxfId="2041" priority="784" operator="notEqual">
      <formula>0</formula>
    </cfRule>
  </conditionalFormatting>
  <conditionalFormatting sqref="O41">
    <cfRule type="cellIs" dxfId="2040" priority="781" operator="equal">
      <formula>0</formula>
    </cfRule>
    <cfRule type="cellIs" dxfId="2039" priority="782" operator="notEqual">
      <formula>0</formula>
    </cfRule>
  </conditionalFormatting>
  <conditionalFormatting sqref="P38">
    <cfRule type="cellIs" dxfId="2038" priority="779" operator="equal">
      <formula>0</formula>
    </cfRule>
    <cfRule type="cellIs" dxfId="2037" priority="780" operator="notEqual">
      <formula>0</formula>
    </cfRule>
  </conditionalFormatting>
  <conditionalFormatting sqref="P41">
    <cfRule type="cellIs" dxfId="2036" priority="777" operator="equal">
      <formula>0</formula>
    </cfRule>
    <cfRule type="cellIs" dxfId="2035" priority="778" operator="notEqual">
      <formula>0</formula>
    </cfRule>
  </conditionalFormatting>
  <conditionalFormatting sqref="Q38">
    <cfRule type="cellIs" dxfId="2034" priority="775" operator="equal">
      <formula>0</formula>
    </cfRule>
    <cfRule type="cellIs" dxfId="2033" priority="776" operator="notEqual">
      <formula>0</formula>
    </cfRule>
  </conditionalFormatting>
  <conditionalFormatting sqref="Q41">
    <cfRule type="cellIs" dxfId="2032" priority="773" operator="equal">
      <formula>0</formula>
    </cfRule>
    <cfRule type="cellIs" dxfId="2031" priority="774" operator="notEqual">
      <formula>0</formula>
    </cfRule>
  </conditionalFormatting>
  <conditionalFormatting sqref="R38">
    <cfRule type="cellIs" dxfId="2030" priority="771" operator="equal">
      <formula>0</formula>
    </cfRule>
    <cfRule type="cellIs" dxfId="2029" priority="772" operator="notEqual">
      <formula>0</formula>
    </cfRule>
  </conditionalFormatting>
  <conditionalFormatting sqref="R41">
    <cfRule type="cellIs" dxfId="2028" priority="769" operator="equal">
      <formula>0</formula>
    </cfRule>
    <cfRule type="cellIs" dxfId="2027" priority="770" operator="notEqual">
      <formula>0</formula>
    </cfRule>
  </conditionalFormatting>
  <conditionalFormatting sqref="C46:C47">
    <cfRule type="cellIs" dxfId="2026" priority="767" operator="equal">
      <formula>0</formula>
    </cfRule>
    <cfRule type="cellIs" dxfId="2025" priority="768" operator="notEqual">
      <formula>0</formula>
    </cfRule>
  </conditionalFormatting>
  <conditionalFormatting sqref="D46:D47">
    <cfRule type="cellIs" dxfId="2024" priority="765" operator="equal">
      <formula>0</formula>
    </cfRule>
    <cfRule type="cellIs" dxfId="2023" priority="766" operator="notEqual">
      <formula>0</formula>
    </cfRule>
  </conditionalFormatting>
  <conditionalFormatting sqref="E46:E47">
    <cfRule type="cellIs" dxfId="2022" priority="763" operator="equal">
      <formula>0</formula>
    </cfRule>
    <cfRule type="cellIs" dxfId="2021" priority="764" operator="notEqual">
      <formula>0</formula>
    </cfRule>
  </conditionalFormatting>
  <conditionalFormatting sqref="F46:F47">
    <cfRule type="cellIs" dxfId="2020" priority="761" operator="equal">
      <formula>0</formula>
    </cfRule>
    <cfRule type="cellIs" dxfId="2019" priority="762" operator="notEqual">
      <formula>0</formula>
    </cfRule>
  </conditionalFormatting>
  <conditionalFormatting sqref="G46:G47">
    <cfRule type="cellIs" dxfId="2018" priority="759" operator="equal">
      <formula>0</formula>
    </cfRule>
    <cfRule type="cellIs" dxfId="2017" priority="760" operator="notEqual">
      <formula>0</formula>
    </cfRule>
  </conditionalFormatting>
  <conditionalFormatting sqref="H46:H47">
    <cfRule type="cellIs" dxfId="2016" priority="757" operator="equal">
      <formula>0</formula>
    </cfRule>
    <cfRule type="cellIs" dxfId="2015" priority="758" operator="notEqual">
      <formula>0</formula>
    </cfRule>
  </conditionalFormatting>
  <conditionalFormatting sqref="I46:I47">
    <cfRule type="cellIs" dxfId="2014" priority="755" operator="equal">
      <formula>0</formula>
    </cfRule>
    <cfRule type="cellIs" dxfId="2013" priority="756" operator="notEqual">
      <formula>0</formula>
    </cfRule>
  </conditionalFormatting>
  <conditionalFormatting sqref="J46:J47">
    <cfRule type="cellIs" dxfId="2012" priority="753" operator="equal">
      <formula>0</formula>
    </cfRule>
    <cfRule type="cellIs" dxfId="2011" priority="754" operator="notEqual">
      <formula>0</formula>
    </cfRule>
  </conditionalFormatting>
  <conditionalFormatting sqref="O45">
    <cfRule type="cellIs" dxfId="2010" priority="751" operator="equal">
      <formula>0</formula>
    </cfRule>
    <cfRule type="cellIs" dxfId="2009" priority="752" operator="notEqual">
      <formula>0</formula>
    </cfRule>
  </conditionalFormatting>
  <conditionalFormatting sqref="O48">
    <cfRule type="cellIs" dxfId="2008" priority="749" operator="equal">
      <formula>0</formula>
    </cfRule>
    <cfRule type="cellIs" dxfId="2007" priority="750" operator="notEqual">
      <formula>0</formula>
    </cfRule>
  </conditionalFormatting>
  <conditionalFormatting sqref="P45">
    <cfRule type="cellIs" dxfId="2006" priority="747" operator="equal">
      <formula>0</formula>
    </cfRule>
    <cfRule type="cellIs" dxfId="2005" priority="748" operator="notEqual">
      <formula>0</formula>
    </cfRule>
  </conditionalFormatting>
  <conditionalFormatting sqref="P48">
    <cfRule type="cellIs" dxfId="2004" priority="745" operator="equal">
      <formula>0</formula>
    </cfRule>
    <cfRule type="cellIs" dxfId="2003" priority="746" operator="notEqual">
      <formula>0</formula>
    </cfRule>
  </conditionalFormatting>
  <conditionalFormatting sqref="Q45">
    <cfRule type="cellIs" dxfId="2002" priority="743" operator="equal">
      <formula>0</formula>
    </cfRule>
    <cfRule type="cellIs" dxfId="2001" priority="744" operator="notEqual">
      <formula>0</formula>
    </cfRule>
  </conditionalFormatting>
  <conditionalFormatting sqref="Q48">
    <cfRule type="cellIs" dxfId="2000" priority="741" operator="equal">
      <formula>0</formula>
    </cfRule>
    <cfRule type="cellIs" dxfId="1999" priority="742" operator="notEqual">
      <formula>0</formula>
    </cfRule>
  </conditionalFormatting>
  <conditionalFormatting sqref="R45">
    <cfRule type="cellIs" dxfId="1998" priority="739" operator="equal">
      <formula>0</formula>
    </cfRule>
    <cfRule type="cellIs" dxfId="1997" priority="740" operator="notEqual">
      <formula>0</formula>
    </cfRule>
  </conditionalFormatting>
  <conditionalFormatting sqref="R48">
    <cfRule type="cellIs" dxfId="1996" priority="737" operator="equal">
      <formula>0</formula>
    </cfRule>
    <cfRule type="cellIs" dxfId="1995" priority="738" operator="notEqual">
      <formula>0</formula>
    </cfRule>
  </conditionalFormatting>
  <conditionalFormatting sqref="C53:C54">
    <cfRule type="cellIs" dxfId="1994" priority="735" operator="equal">
      <formula>0</formula>
    </cfRule>
    <cfRule type="cellIs" dxfId="1993" priority="736" operator="notEqual">
      <formula>0</formula>
    </cfRule>
  </conditionalFormatting>
  <conditionalFormatting sqref="D53:D54">
    <cfRule type="cellIs" dxfId="1992" priority="733" operator="equal">
      <formula>0</formula>
    </cfRule>
    <cfRule type="cellIs" dxfId="1991" priority="734" operator="notEqual">
      <formula>0</formula>
    </cfRule>
  </conditionalFormatting>
  <conditionalFormatting sqref="E53:E54">
    <cfRule type="cellIs" dxfId="1990" priority="731" operator="equal">
      <formula>0</formula>
    </cfRule>
    <cfRule type="cellIs" dxfId="1989" priority="732" operator="notEqual">
      <formula>0</formula>
    </cfRule>
  </conditionalFormatting>
  <conditionalFormatting sqref="F53:F54">
    <cfRule type="cellIs" dxfId="1988" priority="729" operator="equal">
      <formula>0</formula>
    </cfRule>
    <cfRule type="cellIs" dxfId="1987" priority="730" operator="notEqual">
      <formula>0</formula>
    </cfRule>
  </conditionalFormatting>
  <conditionalFormatting sqref="G53:G54">
    <cfRule type="cellIs" dxfId="1986" priority="727" operator="equal">
      <formula>0</formula>
    </cfRule>
    <cfRule type="cellIs" dxfId="1985" priority="728" operator="notEqual">
      <formula>0</formula>
    </cfRule>
  </conditionalFormatting>
  <conditionalFormatting sqref="H53:H54">
    <cfRule type="cellIs" dxfId="1984" priority="725" operator="equal">
      <formula>0</formula>
    </cfRule>
    <cfRule type="cellIs" dxfId="1983" priority="726" operator="notEqual">
      <formula>0</formula>
    </cfRule>
  </conditionalFormatting>
  <conditionalFormatting sqref="I53:I54">
    <cfRule type="cellIs" dxfId="1982" priority="723" operator="equal">
      <formula>0</formula>
    </cfRule>
    <cfRule type="cellIs" dxfId="1981" priority="724" operator="notEqual">
      <formula>0</formula>
    </cfRule>
  </conditionalFormatting>
  <conditionalFormatting sqref="J53:J54">
    <cfRule type="cellIs" dxfId="1980" priority="721" operator="equal">
      <formula>0</formula>
    </cfRule>
    <cfRule type="cellIs" dxfId="1979" priority="722" operator="notEqual">
      <formula>0</formula>
    </cfRule>
  </conditionalFormatting>
  <conditionalFormatting sqref="O52">
    <cfRule type="cellIs" dxfId="1978" priority="719" operator="equal">
      <formula>0</formula>
    </cfRule>
    <cfRule type="cellIs" dxfId="1977" priority="720" operator="notEqual">
      <formula>0</formula>
    </cfRule>
  </conditionalFormatting>
  <conditionalFormatting sqref="O55">
    <cfRule type="cellIs" dxfId="1976" priority="717" operator="equal">
      <formula>0</formula>
    </cfRule>
    <cfRule type="cellIs" dxfId="1975" priority="718" operator="notEqual">
      <formula>0</formula>
    </cfRule>
  </conditionalFormatting>
  <conditionalFormatting sqref="P52">
    <cfRule type="cellIs" dxfId="1974" priority="715" operator="equal">
      <formula>0</formula>
    </cfRule>
    <cfRule type="cellIs" dxfId="1973" priority="716" operator="notEqual">
      <formula>0</formula>
    </cfRule>
  </conditionalFormatting>
  <conditionalFormatting sqref="P55">
    <cfRule type="cellIs" dxfId="1972" priority="713" operator="equal">
      <formula>0</formula>
    </cfRule>
    <cfRule type="cellIs" dxfId="1971" priority="714" operator="notEqual">
      <formula>0</formula>
    </cfRule>
  </conditionalFormatting>
  <conditionalFormatting sqref="Q52">
    <cfRule type="cellIs" dxfId="1970" priority="711" operator="equal">
      <formula>0</formula>
    </cfRule>
    <cfRule type="cellIs" dxfId="1969" priority="712" operator="notEqual">
      <formula>0</formula>
    </cfRule>
  </conditionalFormatting>
  <conditionalFormatting sqref="Q55">
    <cfRule type="cellIs" dxfId="1968" priority="709" operator="equal">
      <formula>0</formula>
    </cfRule>
    <cfRule type="cellIs" dxfId="1967" priority="710" operator="notEqual">
      <formula>0</formula>
    </cfRule>
  </conditionalFormatting>
  <conditionalFormatting sqref="R52">
    <cfRule type="cellIs" dxfId="1966" priority="707" operator="equal">
      <formula>0</formula>
    </cfRule>
    <cfRule type="cellIs" dxfId="1965" priority="708" operator="notEqual">
      <formula>0</formula>
    </cfRule>
  </conditionalFormatting>
  <conditionalFormatting sqref="R55">
    <cfRule type="cellIs" dxfId="1964" priority="705" operator="equal">
      <formula>0</formula>
    </cfRule>
    <cfRule type="cellIs" dxfId="1963" priority="706" operator="notEqual">
      <formula>0</formula>
    </cfRule>
  </conditionalFormatting>
  <conditionalFormatting sqref="C60:C61">
    <cfRule type="cellIs" dxfId="1962" priority="703" operator="equal">
      <formula>0</formula>
    </cfRule>
    <cfRule type="cellIs" dxfId="1961" priority="704" operator="notEqual">
      <formula>0</formula>
    </cfRule>
  </conditionalFormatting>
  <conditionalFormatting sqref="D60:D61">
    <cfRule type="cellIs" dxfId="1960" priority="701" operator="equal">
      <formula>0</formula>
    </cfRule>
    <cfRule type="cellIs" dxfId="1959" priority="702" operator="notEqual">
      <formula>0</formula>
    </cfRule>
  </conditionalFormatting>
  <conditionalFormatting sqref="E60:E61">
    <cfRule type="cellIs" dxfId="1958" priority="699" operator="equal">
      <formula>0</formula>
    </cfRule>
    <cfRule type="cellIs" dxfId="1957" priority="700" operator="notEqual">
      <formula>0</formula>
    </cfRule>
  </conditionalFormatting>
  <conditionalFormatting sqref="F60:F61">
    <cfRule type="cellIs" dxfId="1956" priority="697" operator="equal">
      <formula>0</formula>
    </cfRule>
    <cfRule type="cellIs" dxfId="1955" priority="698" operator="notEqual">
      <formula>0</formula>
    </cfRule>
  </conditionalFormatting>
  <conditionalFormatting sqref="G60:G61">
    <cfRule type="cellIs" dxfId="1954" priority="695" operator="equal">
      <formula>0</formula>
    </cfRule>
    <cfRule type="cellIs" dxfId="1953" priority="696" operator="notEqual">
      <formula>0</formula>
    </cfRule>
  </conditionalFormatting>
  <conditionalFormatting sqref="H60:H61">
    <cfRule type="cellIs" dxfId="1952" priority="693" operator="equal">
      <formula>0</formula>
    </cfRule>
    <cfRule type="cellIs" dxfId="1951" priority="694" operator="notEqual">
      <formula>0</formula>
    </cfRule>
  </conditionalFormatting>
  <conditionalFormatting sqref="I60:I61">
    <cfRule type="cellIs" dxfId="1950" priority="691" operator="equal">
      <formula>0</formula>
    </cfRule>
    <cfRule type="cellIs" dxfId="1949" priority="692" operator="notEqual">
      <formula>0</formula>
    </cfRule>
  </conditionalFormatting>
  <conditionalFormatting sqref="J60:J61">
    <cfRule type="cellIs" dxfId="1948" priority="689" operator="equal">
      <formula>0</formula>
    </cfRule>
    <cfRule type="cellIs" dxfId="1947" priority="690" operator="notEqual">
      <formula>0</formula>
    </cfRule>
  </conditionalFormatting>
  <conditionalFormatting sqref="O59">
    <cfRule type="cellIs" dxfId="1946" priority="687" operator="equal">
      <formula>0</formula>
    </cfRule>
    <cfRule type="cellIs" dxfId="1945" priority="688" operator="notEqual">
      <formula>0</formula>
    </cfRule>
  </conditionalFormatting>
  <conditionalFormatting sqref="O62">
    <cfRule type="cellIs" dxfId="1944" priority="685" operator="equal">
      <formula>0</formula>
    </cfRule>
    <cfRule type="cellIs" dxfId="1943" priority="686" operator="notEqual">
      <formula>0</formula>
    </cfRule>
  </conditionalFormatting>
  <conditionalFormatting sqref="P59">
    <cfRule type="cellIs" dxfId="1942" priority="683" operator="equal">
      <formula>0</formula>
    </cfRule>
    <cfRule type="cellIs" dxfId="1941" priority="684" operator="notEqual">
      <formula>0</formula>
    </cfRule>
  </conditionalFormatting>
  <conditionalFormatting sqref="P62">
    <cfRule type="cellIs" dxfId="1940" priority="681" operator="equal">
      <formula>0</formula>
    </cfRule>
    <cfRule type="cellIs" dxfId="1939" priority="682" operator="notEqual">
      <formula>0</formula>
    </cfRule>
  </conditionalFormatting>
  <conditionalFormatting sqref="Q59">
    <cfRule type="cellIs" dxfId="1938" priority="679" operator="equal">
      <formula>0</formula>
    </cfRule>
    <cfRule type="cellIs" dxfId="1937" priority="680" operator="notEqual">
      <formula>0</formula>
    </cfRule>
  </conditionalFormatting>
  <conditionalFormatting sqref="Q62">
    <cfRule type="cellIs" dxfId="1936" priority="677" operator="equal">
      <formula>0</formula>
    </cfRule>
    <cfRule type="cellIs" dxfId="1935" priority="678" operator="notEqual">
      <formula>0</formula>
    </cfRule>
  </conditionalFormatting>
  <conditionalFormatting sqref="R59">
    <cfRule type="cellIs" dxfId="1934" priority="675" operator="equal">
      <formula>0</formula>
    </cfRule>
    <cfRule type="cellIs" dxfId="1933" priority="676" operator="notEqual">
      <formula>0</formula>
    </cfRule>
  </conditionalFormatting>
  <conditionalFormatting sqref="R62">
    <cfRule type="cellIs" dxfId="1932" priority="673" operator="equal">
      <formula>0</formula>
    </cfRule>
    <cfRule type="cellIs" dxfId="1931" priority="674" operator="notEqual">
      <formula>0</formula>
    </cfRule>
  </conditionalFormatting>
  <conditionalFormatting sqref="C67:C68">
    <cfRule type="cellIs" dxfId="1930" priority="671" operator="equal">
      <formula>0</formula>
    </cfRule>
    <cfRule type="cellIs" dxfId="1929" priority="672" operator="notEqual">
      <formula>0</formula>
    </cfRule>
  </conditionalFormatting>
  <conditionalFormatting sqref="D67:D68">
    <cfRule type="cellIs" dxfId="1928" priority="669" operator="equal">
      <formula>0</formula>
    </cfRule>
    <cfRule type="cellIs" dxfId="1927" priority="670" operator="notEqual">
      <formula>0</formula>
    </cfRule>
  </conditionalFormatting>
  <conditionalFormatting sqref="E67:E68">
    <cfRule type="cellIs" dxfId="1926" priority="667" operator="equal">
      <formula>0</formula>
    </cfRule>
    <cfRule type="cellIs" dxfId="1925" priority="668" operator="notEqual">
      <formula>0</formula>
    </cfRule>
  </conditionalFormatting>
  <conditionalFormatting sqref="F67:F68">
    <cfRule type="cellIs" dxfId="1924" priority="665" operator="equal">
      <formula>0</formula>
    </cfRule>
    <cfRule type="cellIs" dxfId="1923" priority="666" operator="notEqual">
      <formula>0</formula>
    </cfRule>
  </conditionalFormatting>
  <conditionalFormatting sqref="G67:G68">
    <cfRule type="cellIs" dxfId="1922" priority="663" operator="equal">
      <formula>0</formula>
    </cfRule>
    <cfRule type="cellIs" dxfId="1921" priority="664" operator="notEqual">
      <formula>0</formula>
    </cfRule>
  </conditionalFormatting>
  <conditionalFormatting sqref="H67:H68">
    <cfRule type="cellIs" dxfId="1920" priority="661" operator="equal">
      <formula>0</formula>
    </cfRule>
    <cfRule type="cellIs" dxfId="1919" priority="662" operator="notEqual">
      <formula>0</formula>
    </cfRule>
  </conditionalFormatting>
  <conditionalFormatting sqref="I67:I68">
    <cfRule type="cellIs" dxfId="1918" priority="659" operator="equal">
      <formula>0</formula>
    </cfRule>
    <cfRule type="cellIs" dxfId="1917" priority="660" operator="notEqual">
      <formula>0</formula>
    </cfRule>
  </conditionalFormatting>
  <conditionalFormatting sqref="J67:J68">
    <cfRule type="cellIs" dxfId="1916" priority="657" operator="equal">
      <formula>0</formula>
    </cfRule>
    <cfRule type="cellIs" dxfId="1915" priority="658" operator="notEqual">
      <formula>0</formula>
    </cfRule>
  </conditionalFormatting>
  <conditionalFormatting sqref="O66">
    <cfRule type="cellIs" dxfId="1914" priority="655" operator="equal">
      <formula>0</formula>
    </cfRule>
    <cfRule type="cellIs" dxfId="1913" priority="656" operator="notEqual">
      <formula>0</formula>
    </cfRule>
  </conditionalFormatting>
  <conditionalFormatting sqref="O69">
    <cfRule type="cellIs" dxfId="1912" priority="653" operator="equal">
      <formula>0</formula>
    </cfRule>
    <cfRule type="cellIs" dxfId="1911" priority="654" operator="notEqual">
      <formula>0</formula>
    </cfRule>
  </conditionalFormatting>
  <conditionalFormatting sqref="P66">
    <cfRule type="cellIs" dxfId="1910" priority="651" operator="equal">
      <formula>0</formula>
    </cfRule>
    <cfRule type="cellIs" dxfId="1909" priority="652" operator="notEqual">
      <formula>0</formula>
    </cfRule>
  </conditionalFormatting>
  <conditionalFormatting sqref="P69">
    <cfRule type="cellIs" dxfId="1908" priority="649" operator="equal">
      <formula>0</formula>
    </cfRule>
    <cfRule type="cellIs" dxfId="1907" priority="650" operator="notEqual">
      <formula>0</formula>
    </cfRule>
  </conditionalFormatting>
  <conditionalFormatting sqref="Q66">
    <cfRule type="cellIs" dxfId="1906" priority="647" operator="equal">
      <formula>0</formula>
    </cfRule>
    <cfRule type="cellIs" dxfId="1905" priority="648" operator="notEqual">
      <formula>0</formula>
    </cfRule>
  </conditionalFormatting>
  <conditionalFormatting sqref="Q69">
    <cfRule type="cellIs" dxfId="1904" priority="645" operator="equal">
      <formula>0</formula>
    </cfRule>
    <cfRule type="cellIs" dxfId="1903" priority="646" operator="notEqual">
      <formula>0</formula>
    </cfRule>
  </conditionalFormatting>
  <conditionalFormatting sqref="R66">
    <cfRule type="cellIs" dxfId="1902" priority="643" operator="equal">
      <formula>0</formula>
    </cfRule>
    <cfRule type="cellIs" dxfId="1901" priority="644" operator="notEqual">
      <formula>0</formula>
    </cfRule>
  </conditionalFormatting>
  <conditionalFormatting sqref="R69">
    <cfRule type="cellIs" dxfId="1900" priority="641" operator="equal">
      <formula>0</formula>
    </cfRule>
    <cfRule type="cellIs" dxfId="1899" priority="642" operator="notEqual">
      <formula>0</formula>
    </cfRule>
  </conditionalFormatting>
  <conditionalFormatting sqref="C74:C75">
    <cfRule type="cellIs" dxfId="1898" priority="639" operator="equal">
      <formula>0</formula>
    </cfRule>
    <cfRule type="cellIs" dxfId="1897" priority="640" operator="notEqual">
      <formula>0</formula>
    </cfRule>
  </conditionalFormatting>
  <conditionalFormatting sqref="D74:D75">
    <cfRule type="cellIs" dxfId="1896" priority="637" operator="equal">
      <formula>0</formula>
    </cfRule>
    <cfRule type="cellIs" dxfId="1895" priority="638" operator="notEqual">
      <formula>0</formula>
    </cfRule>
  </conditionalFormatting>
  <conditionalFormatting sqref="E74:E75">
    <cfRule type="cellIs" dxfId="1894" priority="635" operator="equal">
      <formula>0</formula>
    </cfRule>
    <cfRule type="cellIs" dxfId="1893" priority="636" operator="notEqual">
      <formula>0</formula>
    </cfRule>
  </conditionalFormatting>
  <conditionalFormatting sqref="F74:F75">
    <cfRule type="cellIs" dxfId="1892" priority="633" operator="equal">
      <formula>0</formula>
    </cfRule>
    <cfRule type="cellIs" dxfId="1891" priority="634" operator="notEqual">
      <formula>0</formula>
    </cfRule>
  </conditionalFormatting>
  <conditionalFormatting sqref="G74:G75">
    <cfRule type="cellIs" dxfId="1890" priority="631" operator="equal">
      <formula>0</formula>
    </cfRule>
    <cfRule type="cellIs" dxfId="1889" priority="632" operator="notEqual">
      <formula>0</formula>
    </cfRule>
  </conditionalFormatting>
  <conditionalFormatting sqref="H74:H75">
    <cfRule type="cellIs" dxfId="1888" priority="629" operator="equal">
      <formula>0</formula>
    </cfRule>
    <cfRule type="cellIs" dxfId="1887" priority="630" operator="notEqual">
      <formula>0</formula>
    </cfRule>
  </conditionalFormatting>
  <conditionalFormatting sqref="I74:I75">
    <cfRule type="cellIs" dxfId="1886" priority="627" operator="equal">
      <formula>0</formula>
    </cfRule>
    <cfRule type="cellIs" dxfId="1885" priority="628" operator="notEqual">
      <formula>0</formula>
    </cfRule>
  </conditionalFormatting>
  <conditionalFormatting sqref="J74:J75">
    <cfRule type="cellIs" dxfId="1884" priority="625" operator="equal">
      <formula>0</formula>
    </cfRule>
    <cfRule type="cellIs" dxfId="1883" priority="626" operator="notEqual">
      <formula>0</formula>
    </cfRule>
  </conditionalFormatting>
  <conditionalFormatting sqref="O73">
    <cfRule type="cellIs" dxfId="1882" priority="623" operator="equal">
      <formula>0</formula>
    </cfRule>
    <cfRule type="cellIs" dxfId="1881" priority="624" operator="notEqual">
      <formula>0</formula>
    </cfRule>
  </conditionalFormatting>
  <conditionalFormatting sqref="O76">
    <cfRule type="cellIs" dxfId="1880" priority="621" operator="equal">
      <formula>0</formula>
    </cfRule>
    <cfRule type="cellIs" dxfId="1879" priority="622" operator="notEqual">
      <formula>0</formula>
    </cfRule>
  </conditionalFormatting>
  <conditionalFormatting sqref="P73">
    <cfRule type="cellIs" dxfId="1878" priority="619" operator="equal">
      <formula>0</formula>
    </cfRule>
    <cfRule type="cellIs" dxfId="1877" priority="620" operator="notEqual">
      <formula>0</formula>
    </cfRule>
  </conditionalFormatting>
  <conditionalFormatting sqref="P76">
    <cfRule type="cellIs" dxfId="1876" priority="617" operator="equal">
      <formula>0</formula>
    </cfRule>
    <cfRule type="cellIs" dxfId="1875" priority="618" operator="notEqual">
      <formula>0</formula>
    </cfRule>
  </conditionalFormatting>
  <conditionalFormatting sqref="Q73">
    <cfRule type="cellIs" dxfId="1874" priority="615" operator="equal">
      <formula>0</formula>
    </cfRule>
    <cfRule type="cellIs" dxfId="1873" priority="616" operator="notEqual">
      <formula>0</formula>
    </cfRule>
  </conditionalFormatting>
  <conditionalFormatting sqref="Q76">
    <cfRule type="cellIs" dxfId="1872" priority="613" operator="equal">
      <formula>0</formula>
    </cfRule>
    <cfRule type="cellIs" dxfId="1871" priority="614" operator="notEqual">
      <formula>0</formula>
    </cfRule>
  </conditionalFormatting>
  <conditionalFormatting sqref="R73">
    <cfRule type="cellIs" dxfId="1870" priority="611" operator="equal">
      <formula>0</formula>
    </cfRule>
    <cfRule type="cellIs" dxfId="1869" priority="612" operator="notEqual">
      <formula>0</formula>
    </cfRule>
  </conditionalFormatting>
  <conditionalFormatting sqref="R76">
    <cfRule type="cellIs" dxfId="1868" priority="609" operator="equal">
      <formula>0</formula>
    </cfRule>
    <cfRule type="cellIs" dxfId="1867" priority="610" operator="notEqual">
      <formula>0</formula>
    </cfRule>
  </conditionalFormatting>
  <conditionalFormatting sqref="U67:U68">
    <cfRule type="cellIs" dxfId="1866" priority="607" operator="equal">
      <formula>0</formula>
    </cfRule>
    <cfRule type="cellIs" dxfId="1865" priority="608" operator="notEqual">
      <formula>0</formula>
    </cfRule>
  </conditionalFormatting>
  <conditionalFormatting sqref="V67:V68">
    <cfRule type="cellIs" dxfId="1864" priority="605" operator="equal">
      <formula>0</formula>
    </cfRule>
    <cfRule type="cellIs" dxfId="1863" priority="606" operator="notEqual">
      <formula>0</formula>
    </cfRule>
  </conditionalFormatting>
  <conditionalFormatting sqref="W67:W68">
    <cfRule type="cellIs" dxfId="1862" priority="603" operator="equal">
      <formula>0</formula>
    </cfRule>
    <cfRule type="cellIs" dxfId="1861" priority="604" operator="notEqual">
      <formula>0</formula>
    </cfRule>
  </conditionalFormatting>
  <conditionalFormatting sqref="X67:X68">
    <cfRule type="cellIs" dxfId="1860" priority="601" operator="equal">
      <formula>0</formula>
    </cfRule>
    <cfRule type="cellIs" dxfId="1859" priority="602" operator="notEqual">
      <formula>0</formula>
    </cfRule>
  </conditionalFormatting>
  <conditionalFormatting sqref="Y67:Y68">
    <cfRule type="cellIs" dxfId="1858" priority="599" operator="equal">
      <formula>0</formula>
    </cfRule>
    <cfRule type="cellIs" dxfId="1857" priority="600" operator="notEqual">
      <formula>0</formula>
    </cfRule>
  </conditionalFormatting>
  <conditionalFormatting sqref="Z67:Z68">
    <cfRule type="cellIs" dxfId="1856" priority="597" operator="equal">
      <formula>0</formula>
    </cfRule>
    <cfRule type="cellIs" dxfId="1855" priority="598" operator="notEqual">
      <formula>0</formula>
    </cfRule>
  </conditionalFormatting>
  <conditionalFormatting sqref="AA67:AA68">
    <cfRule type="cellIs" dxfId="1854" priority="595" operator="equal">
      <formula>0</formula>
    </cfRule>
    <cfRule type="cellIs" dxfId="1853" priority="596" operator="notEqual">
      <formula>0</formula>
    </cfRule>
  </conditionalFormatting>
  <conditionalFormatting sqref="AB67:AB68">
    <cfRule type="cellIs" dxfId="1852" priority="593" operator="equal">
      <formula>0</formula>
    </cfRule>
    <cfRule type="cellIs" dxfId="1851" priority="594" operator="notEqual">
      <formula>0</formula>
    </cfRule>
  </conditionalFormatting>
  <conditionalFormatting sqref="AG66">
    <cfRule type="cellIs" dxfId="1850" priority="591" operator="equal">
      <formula>0</formula>
    </cfRule>
    <cfRule type="cellIs" dxfId="1849" priority="592" operator="notEqual">
      <formula>0</formula>
    </cfRule>
  </conditionalFormatting>
  <conditionalFormatting sqref="AG69">
    <cfRule type="cellIs" dxfId="1848" priority="589" operator="equal">
      <formula>0</formula>
    </cfRule>
    <cfRule type="cellIs" dxfId="1847" priority="590" operator="notEqual">
      <formula>0</formula>
    </cfRule>
  </conditionalFormatting>
  <conditionalFormatting sqref="AH66">
    <cfRule type="cellIs" dxfId="1846" priority="587" operator="equal">
      <formula>0</formula>
    </cfRule>
    <cfRule type="cellIs" dxfId="1845" priority="588" operator="notEqual">
      <formula>0</formula>
    </cfRule>
  </conditionalFormatting>
  <conditionalFormatting sqref="AH69">
    <cfRule type="cellIs" dxfId="1844" priority="585" operator="equal">
      <formula>0</formula>
    </cfRule>
    <cfRule type="cellIs" dxfId="1843" priority="586" operator="notEqual">
      <formula>0</formula>
    </cfRule>
  </conditionalFormatting>
  <conditionalFormatting sqref="AI66">
    <cfRule type="cellIs" dxfId="1842" priority="583" operator="equal">
      <formula>0</formula>
    </cfRule>
    <cfRule type="cellIs" dxfId="1841" priority="584" operator="notEqual">
      <formula>0</formula>
    </cfRule>
  </conditionalFormatting>
  <conditionalFormatting sqref="AI69">
    <cfRule type="cellIs" dxfId="1840" priority="581" operator="equal">
      <formula>0</formula>
    </cfRule>
    <cfRule type="cellIs" dxfId="1839" priority="582" operator="notEqual">
      <formula>0</formula>
    </cfRule>
  </conditionalFormatting>
  <conditionalFormatting sqref="AJ66">
    <cfRule type="cellIs" dxfId="1838" priority="579" operator="equal">
      <formula>0</formula>
    </cfRule>
    <cfRule type="cellIs" dxfId="1837" priority="580" operator="notEqual">
      <formula>0</formula>
    </cfRule>
  </conditionalFormatting>
  <conditionalFormatting sqref="AJ69">
    <cfRule type="cellIs" dxfId="1836" priority="577" operator="equal">
      <formula>0</formula>
    </cfRule>
    <cfRule type="cellIs" dxfId="1835" priority="578" operator="notEqual">
      <formula>0</formula>
    </cfRule>
  </conditionalFormatting>
  <conditionalFormatting sqref="U60:U61">
    <cfRule type="cellIs" dxfId="1834" priority="575" operator="equal">
      <formula>0</formula>
    </cfRule>
    <cfRule type="cellIs" dxfId="1833" priority="576" operator="notEqual">
      <formula>0</formula>
    </cfRule>
  </conditionalFormatting>
  <conditionalFormatting sqref="V60:V61">
    <cfRule type="cellIs" dxfId="1832" priority="573" operator="equal">
      <formula>0</formula>
    </cfRule>
    <cfRule type="cellIs" dxfId="1831" priority="574" operator="notEqual">
      <formula>0</formula>
    </cfRule>
  </conditionalFormatting>
  <conditionalFormatting sqref="W60:W61">
    <cfRule type="cellIs" dxfId="1830" priority="571" operator="equal">
      <formula>0</formula>
    </cfRule>
    <cfRule type="cellIs" dxfId="1829" priority="572" operator="notEqual">
      <formula>0</formula>
    </cfRule>
  </conditionalFormatting>
  <conditionalFormatting sqref="X60:X61">
    <cfRule type="cellIs" dxfId="1828" priority="569" operator="equal">
      <formula>0</formula>
    </cfRule>
    <cfRule type="cellIs" dxfId="1827" priority="570" operator="notEqual">
      <formula>0</formula>
    </cfRule>
  </conditionalFormatting>
  <conditionalFormatting sqref="Y60:Y61">
    <cfRule type="cellIs" dxfId="1826" priority="567" operator="equal">
      <formula>0</formula>
    </cfRule>
    <cfRule type="cellIs" dxfId="1825" priority="568" operator="notEqual">
      <formula>0</formula>
    </cfRule>
  </conditionalFormatting>
  <conditionalFormatting sqref="Z60:Z61">
    <cfRule type="cellIs" dxfId="1824" priority="565" operator="equal">
      <formula>0</formula>
    </cfRule>
    <cfRule type="cellIs" dxfId="1823" priority="566" operator="notEqual">
      <formula>0</formula>
    </cfRule>
  </conditionalFormatting>
  <conditionalFormatting sqref="AA60:AA61">
    <cfRule type="cellIs" dxfId="1822" priority="563" operator="equal">
      <formula>0</formula>
    </cfRule>
    <cfRule type="cellIs" dxfId="1821" priority="564" operator="notEqual">
      <formula>0</formula>
    </cfRule>
  </conditionalFormatting>
  <conditionalFormatting sqref="AB60:AB61">
    <cfRule type="cellIs" dxfId="1820" priority="561" operator="equal">
      <formula>0</formula>
    </cfRule>
    <cfRule type="cellIs" dxfId="1819" priority="562" operator="notEqual">
      <formula>0</formula>
    </cfRule>
  </conditionalFormatting>
  <conditionalFormatting sqref="AG59">
    <cfRule type="cellIs" dxfId="1818" priority="559" operator="equal">
      <formula>0</formula>
    </cfRule>
    <cfRule type="cellIs" dxfId="1817" priority="560" operator="notEqual">
      <formula>0</formula>
    </cfRule>
  </conditionalFormatting>
  <conditionalFormatting sqref="AG62">
    <cfRule type="cellIs" dxfId="1816" priority="557" operator="equal">
      <formula>0</formula>
    </cfRule>
    <cfRule type="cellIs" dxfId="1815" priority="558" operator="notEqual">
      <formula>0</formula>
    </cfRule>
  </conditionalFormatting>
  <conditionalFormatting sqref="AH59">
    <cfRule type="cellIs" dxfId="1814" priority="555" operator="equal">
      <formula>0</formula>
    </cfRule>
    <cfRule type="cellIs" dxfId="1813" priority="556" operator="notEqual">
      <formula>0</formula>
    </cfRule>
  </conditionalFormatting>
  <conditionalFormatting sqref="AH62">
    <cfRule type="cellIs" dxfId="1812" priority="553" operator="equal">
      <formula>0</formula>
    </cfRule>
    <cfRule type="cellIs" dxfId="1811" priority="554" operator="notEqual">
      <formula>0</formula>
    </cfRule>
  </conditionalFormatting>
  <conditionalFormatting sqref="AI59">
    <cfRule type="cellIs" dxfId="1810" priority="551" operator="equal">
      <formula>0</formula>
    </cfRule>
    <cfRule type="cellIs" dxfId="1809" priority="552" operator="notEqual">
      <formula>0</formula>
    </cfRule>
  </conditionalFormatting>
  <conditionalFormatting sqref="AI62">
    <cfRule type="cellIs" dxfId="1808" priority="549" operator="equal">
      <formula>0</formula>
    </cfRule>
    <cfRule type="cellIs" dxfId="1807" priority="550" operator="notEqual">
      <formula>0</formula>
    </cfRule>
  </conditionalFormatting>
  <conditionalFormatting sqref="AJ59">
    <cfRule type="cellIs" dxfId="1806" priority="547" operator="equal">
      <formula>0</formula>
    </cfRule>
    <cfRule type="cellIs" dxfId="1805" priority="548" operator="notEqual">
      <formula>0</formula>
    </cfRule>
  </conditionalFormatting>
  <conditionalFormatting sqref="AJ62">
    <cfRule type="cellIs" dxfId="1804" priority="545" operator="equal">
      <formula>0</formula>
    </cfRule>
    <cfRule type="cellIs" dxfId="1803" priority="546" operator="notEqual">
      <formula>0</formula>
    </cfRule>
  </conditionalFormatting>
  <conditionalFormatting sqref="U53:U54">
    <cfRule type="cellIs" dxfId="1802" priority="543" operator="equal">
      <formula>0</formula>
    </cfRule>
    <cfRule type="cellIs" dxfId="1801" priority="544" operator="notEqual">
      <formula>0</formula>
    </cfRule>
  </conditionalFormatting>
  <conditionalFormatting sqref="V53:V54">
    <cfRule type="cellIs" dxfId="1800" priority="541" operator="equal">
      <formula>0</formula>
    </cfRule>
    <cfRule type="cellIs" dxfId="1799" priority="542" operator="notEqual">
      <formula>0</formula>
    </cfRule>
  </conditionalFormatting>
  <conditionalFormatting sqref="W53:W54">
    <cfRule type="cellIs" dxfId="1798" priority="539" operator="equal">
      <formula>0</formula>
    </cfRule>
    <cfRule type="cellIs" dxfId="1797" priority="540" operator="notEqual">
      <formula>0</formula>
    </cfRule>
  </conditionalFormatting>
  <conditionalFormatting sqref="X53:X54">
    <cfRule type="cellIs" dxfId="1796" priority="537" operator="equal">
      <formula>0</formula>
    </cfRule>
    <cfRule type="cellIs" dxfId="1795" priority="538" operator="notEqual">
      <formula>0</formula>
    </cfRule>
  </conditionalFormatting>
  <conditionalFormatting sqref="Y53:Y54">
    <cfRule type="cellIs" dxfId="1794" priority="535" operator="equal">
      <formula>0</formula>
    </cfRule>
    <cfRule type="cellIs" dxfId="1793" priority="536" operator="notEqual">
      <formula>0</formula>
    </cfRule>
  </conditionalFormatting>
  <conditionalFormatting sqref="Z53:Z54">
    <cfRule type="cellIs" dxfId="1792" priority="533" operator="equal">
      <formula>0</formula>
    </cfRule>
    <cfRule type="cellIs" dxfId="1791" priority="534" operator="notEqual">
      <formula>0</formula>
    </cfRule>
  </conditionalFormatting>
  <conditionalFormatting sqref="AA53:AA54">
    <cfRule type="cellIs" dxfId="1790" priority="531" operator="equal">
      <formula>0</formula>
    </cfRule>
    <cfRule type="cellIs" dxfId="1789" priority="532" operator="notEqual">
      <formula>0</formula>
    </cfRule>
  </conditionalFormatting>
  <conditionalFormatting sqref="AB53:AB54">
    <cfRule type="cellIs" dxfId="1788" priority="529" operator="equal">
      <formula>0</formula>
    </cfRule>
    <cfRule type="cellIs" dxfId="1787" priority="530" operator="notEqual">
      <formula>0</formula>
    </cfRule>
  </conditionalFormatting>
  <conditionalFormatting sqref="AG52">
    <cfRule type="cellIs" dxfId="1786" priority="527" operator="equal">
      <formula>0</formula>
    </cfRule>
    <cfRule type="cellIs" dxfId="1785" priority="528" operator="notEqual">
      <formula>0</formula>
    </cfRule>
  </conditionalFormatting>
  <conditionalFormatting sqref="AG55">
    <cfRule type="cellIs" dxfId="1784" priority="525" operator="equal">
      <formula>0</formula>
    </cfRule>
    <cfRule type="cellIs" dxfId="1783" priority="526" operator="notEqual">
      <formula>0</formula>
    </cfRule>
  </conditionalFormatting>
  <conditionalFormatting sqref="AH52">
    <cfRule type="cellIs" dxfId="1782" priority="523" operator="equal">
      <formula>0</formula>
    </cfRule>
    <cfRule type="cellIs" dxfId="1781" priority="524" operator="notEqual">
      <formula>0</formula>
    </cfRule>
  </conditionalFormatting>
  <conditionalFormatting sqref="AH55">
    <cfRule type="cellIs" dxfId="1780" priority="521" operator="equal">
      <formula>0</formula>
    </cfRule>
    <cfRule type="cellIs" dxfId="1779" priority="522" operator="notEqual">
      <formula>0</formula>
    </cfRule>
  </conditionalFormatting>
  <conditionalFormatting sqref="AI52">
    <cfRule type="cellIs" dxfId="1778" priority="519" operator="equal">
      <formula>0</formula>
    </cfRule>
    <cfRule type="cellIs" dxfId="1777" priority="520" operator="notEqual">
      <formula>0</formula>
    </cfRule>
  </conditionalFormatting>
  <conditionalFormatting sqref="AI55">
    <cfRule type="cellIs" dxfId="1776" priority="517" operator="equal">
      <formula>0</formula>
    </cfRule>
    <cfRule type="cellIs" dxfId="1775" priority="518" operator="notEqual">
      <formula>0</formula>
    </cfRule>
  </conditionalFormatting>
  <conditionalFormatting sqref="AJ52">
    <cfRule type="cellIs" dxfId="1774" priority="515" operator="equal">
      <formula>0</formula>
    </cfRule>
    <cfRule type="cellIs" dxfId="1773" priority="516" operator="notEqual">
      <formula>0</formula>
    </cfRule>
  </conditionalFormatting>
  <conditionalFormatting sqref="AJ55">
    <cfRule type="cellIs" dxfId="1772" priority="513" operator="equal">
      <formula>0</formula>
    </cfRule>
    <cfRule type="cellIs" dxfId="1771" priority="514" operator="notEqual">
      <formula>0</formula>
    </cfRule>
  </conditionalFormatting>
  <conditionalFormatting sqref="U46:U47">
    <cfRule type="cellIs" dxfId="1770" priority="511" operator="equal">
      <formula>0</formula>
    </cfRule>
    <cfRule type="cellIs" dxfId="1769" priority="512" operator="notEqual">
      <formula>0</formula>
    </cfRule>
  </conditionalFormatting>
  <conditionalFormatting sqref="V46:V47">
    <cfRule type="cellIs" dxfId="1768" priority="509" operator="equal">
      <formula>0</formula>
    </cfRule>
    <cfRule type="cellIs" dxfId="1767" priority="510" operator="notEqual">
      <formula>0</formula>
    </cfRule>
  </conditionalFormatting>
  <conditionalFormatting sqref="W46:W47">
    <cfRule type="cellIs" dxfId="1766" priority="507" operator="equal">
      <formula>0</formula>
    </cfRule>
    <cfRule type="cellIs" dxfId="1765" priority="508" operator="notEqual">
      <formula>0</formula>
    </cfRule>
  </conditionalFormatting>
  <conditionalFormatting sqref="X46:X47">
    <cfRule type="cellIs" dxfId="1764" priority="505" operator="equal">
      <formula>0</formula>
    </cfRule>
    <cfRule type="cellIs" dxfId="1763" priority="506" operator="notEqual">
      <formula>0</formula>
    </cfRule>
  </conditionalFormatting>
  <conditionalFormatting sqref="Y46:Y47">
    <cfRule type="cellIs" dxfId="1762" priority="503" operator="equal">
      <formula>0</formula>
    </cfRule>
    <cfRule type="cellIs" dxfId="1761" priority="504" operator="notEqual">
      <formula>0</formula>
    </cfRule>
  </conditionalFormatting>
  <conditionalFormatting sqref="Z46:Z47">
    <cfRule type="cellIs" dxfId="1760" priority="501" operator="equal">
      <formula>0</formula>
    </cfRule>
    <cfRule type="cellIs" dxfId="1759" priority="502" operator="notEqual">
      <formula>0</formula>
    </cfRule>
  </conditionalFormatting>
  <conditionalFormatting sqref="AA46:AA47">
    <cfRule type="cellIs" dxfId="1758" priority="499" operator="equal">
      <formula>0</formula>
    </cfRule>
    <cfRule type="cellIs" dxfId="1757" priority="500" operator="notEqual">
      <formula>0</formula>
    </cfRule>
  </conditionalFormatting>
  <conditionalFormatting sqref="AB46:AB47">
    <cfRule type="cellIs" dxfId="1756" priority="497" operator="equal">
      <formula>0</formula>
    </cfRule>
    <cfRule type="cellIs" dxfId="1755" priority="498" operator="notEqual">
      <formula>0</formula>
    </cfRule>
  </conditionalFormatting>
  <conditionalFormatting sqref="AG45">
    <cfRule type="cellIs" dxfId="1754" priority="495" operator="equal">
      <formula>0</formula>
    </cfRule>
    <cfRule type="cellIs" dxfId="1753" priority="496" operator="notEqual">
      <formula>0</formula>
    </cfRule>
  </conditionalFormatting>
  <conditionalFormatting sqref="AG48">
    <cfRule type="cellIs" dxfId="1752" priority="493" operator="equal">
      <formula>0</formula>
    </cfRule>
    <cfRule type="cellIs" dxfId="1751" priority="494" operator="notEqual">
      <formula>0</formula>
    </cfRule>
  </conditionalFormatting>
  <conditionalFormatting sqref="AH45">
    <cfRule type="cellIs" dxfId="1750" priority="491" operator="equal">
      <formula>0</formula>
    </cfRule>
    <cfRule type="cellIs" dxfId="1749" priority="492" operator="notEqual">
      <formula>0</formula>
    </cfRule>
  </conditionalFormatting>
  <conditionalFormatting sqref="AH48">
    <cfRule type="cellIs" dxfId="1748" priority="489" operator="equal">
      <formula>0</formula>
    </cfRule>
    <cfRule type="cellIs" dxfId="1747" priority="490" operator="notEqual">
      <formula>0</formula>
    </cfRule>
  </conditionalFormatting>
  <conditionalFormatting sqref="AI45">
    <cfRule type="cellIs" dxfId="1746" priority="487" operator="equal">
      <formula>0</formula>
    </cfRule>
    <cfRule type="cellIs" dxfId="1745" priority="488" operator="notEqual">
      <formula>0</formula>
    </cfRule>
  </conditionalFormatting>
  <conditionalFormatting sqref="AI48">
    <cfRule type="cellIs" dxfId="1744" priority="485" operator="equal">
      <formula>0</formula>
    </cfRule>
    <cfRule type="cellIs" dxfId="1743" priority="486" operator="notEqual">
      <formula>0</formula>
    </cfRule>
  </conditionalFormatting>
  <conditionalFormatting sqref="AJ45">
    <cfRule type="cellIs" dxfId="1742" priority="483" operator="equal">
      <formula>0</formula>
    </cfRule>
    <cfRule type="cellIs" dxfId="1741" priority="484" operator="notEqual">
      <formula>0</formula>
    </cfRule>
  </conditionalFormatting>
  <conditionalFormatting sqref="AJ48">
    <cfRule type="cellIs" dxfId="1740" priority="481" operator="equal">
      <formula>0</formula>
    </cfRule>
    <cfRule type="cellIs" dxfId="1739" priority="482" operator="notEqual">
      <formula>0</formula>
    </cfRule>
  </conditionalFormatting>
  <conditionalFormatting sqref="U39:U40">
    <cfRule type="cellIs" dxfId="1738" priority="479" operator="equal">
      <formula>0</formula>
    </cfRule>
    <cfRule type="cellIs" dxfId="1737" priority="480" operator="notEqual">
      <formula>0</formula>
    </cfRule>
  </conditionalFormatting>
  <conditionalFormatting sqref="V39:V40">
    <cfRule type="cellIs" dxfId="1736" priority="477" operator="equal">
      <formula>0</formula>
    </cfRule>
    <cfRule type="cellIs" dxfId="1735" priority="478" operator="notEqual">
      <formula>0</formula>
    </cfRule>
  </conditionalFormatting>
  <conditionalFormatting sqref="W39:W40">
    <cfRule type="cellIs" dxfId="1734" priority="475" operator="equal">
      <formula>0</formula>
    </cfRule>
    <cfRule type="cellIs" dxfId="1733" priority="476" operator="notEqual">
      <formula>0</formula>
    </cfRule>
  </conditionalFormatting>
  <conditionalFormatting sqref="X39:X40">
    <cfRule type="cellIs" dxfId="1732" priority="473" operator="equal">
      <formula>0</formula>
    </cfRule>
    <cfRule type="cellIs" dxfId="1731" priority="474" operator="notEqual">
      <formula>0</formula>
    </cfRule>
  </conditionalFormatting>
  <conditionalFormatting sqref="Y39:Y40">
    <cfRule type="cellIs" dxfId="1730" priority="471" operator="equal">
      <formula>0</formula>
    </cfRule>
    <cfRule type="cellIs" dxfId="1729" priority="472" operator="notEqual">
      <formula>0</formula>
    </cfRule>
  </conditionalFormatting>
  <conditionalFormatting sqref="Z39:Z40">
    <cfRule type="cellIs" dxfId="1728" priority="469" operator="equal">
      <formula>0</formula>
    </cfRule>
    <cfRule type="cellIs" dxfId="1727" priority="470" operator="notEqual">
      <formula>0</formula>
    </cfRule>
  </conditionalFormatting>
  <conditionalFormatting sqref="AA39:AA40">
    <cfRule type="cellIs" dxfId="1726" priority="467" operator="equal">
      <formula>0</formula>
    </cfRule>
    <cfRule type="cellIs" dxfId="1725" priority="468" operator="notEqual">
      <formula>0</formula>
    </cfRule>
  </conditionalFormatting>
  <conditionalFormatting sqref="AB39:AB40">
    <cfRule type="cellIs" dxfId="1724" priority="465" operator="equal">
      <formula>0</formula>
    </cfRule>
    <cfRule type="cellIs" dxfId="1723" priority="466" operator="notEqual">
      <formula>0</formula>
    </cfRule>
  </conditionalFormatting>
  <conditionalFormatting sqref="AG38">
    <cfRule type="cellIs" dxfId="1722" priority="463" operator="equal">
      <formula>0</formula>
    </cfRule>
    <cfRule type="cellIs" dxfId="1721" priority="464" operator="notEqual">
      <formula>0</formula>
    </cfRule>
  </conditionalFormatting>
  <conditionalFormatting sqref="AG41">
    <cfRule type="cellIs" dxfId="1720" priority="461" operator="equal">
      <formula>0</formula>
    </cfRule>
    <cfRule type="cellIs" dxfId="1719" priority="462" operator="notEqual">
      <formula>0</formula>
    </cfRule>
  </conditionalFormatting>
  <conditionalFormatting sqref="AH38">
    <cfRule type="cellIs" dxfId="1718" priority="459" operator="equal">
      <formula>0</formula>
    </cfRule>
    <cfRule type="cellIs" dxfId="1717" priority="460" operator="notEqual">
      <formula>0</formula>
    </cfRule>
  </conditionalFormatting>
  <conditionalFormatting sqref="AH41">
    <cfRule type="cellIs" dxfId="1716" priority="457" operator="equal">
      <formula>0</formula>
    </cfRule>
    <cfRule type="cellIs" dxfId="1715" priority="458" operator="notEqual">
      <formula>0</formula>
    </cfRule>
  </conditionalFormatting>
  <conditionalFormatting sqref="AI38">
    <cfRule type="cellIs" dxfId="1714" priority="455" operator="equal">
      <formula>0</formula>
    </cfRule>
    <cfRule type="cellIs" dxfId="1713" priority="456" operator="notEqual">
      <formula>0</formula>
    </cfRule>
  </conditionalFormatting>
  <conditionalFormatting sqref="AI41">
    <cfRule type="cellIs" dxfId="1712" priority="453" operator="equal">
      <formula>0</formula>
    </cfRule>
    <cfRule type="cellIs" dxfId="1711" priority="454" operator="notEqual">
      <formula>0</formula>
    </cfRule>
  </conditionalFormatting>
  <conditionalFormatting sqref="AJ38">
    <cfRule type="cellIs" dxfId="1710" priority="451" operator="equal">
      <formula>0</formula>
    </cfRule>
    <cfRule type="cellIs" dxfId="1709" priority="452" operator="notEqual">
      <formula>0</formula>
    </cfRule>
  </conditionalFormatting>
  <conditionalFormatting sqref="AJ41">
    <cfRule type="cellIs" dxfId="1708" priority="449" operator="equal">
      <formula>0</formula>
    </cfRule>
    <cfRule type="cellIs" dxfId="1707" priority="450" operator="notEqual">
      <formula>0</formula>
    </cfRule>
  </conditionalFormatting>
  <conditionalFormatting sqref="U32:U33">
    <cfRule type="cellIs" dxfId="1706" priority="447" operator="equal">
      <formula>0</formula>
    </cfRule>
    <cfRule type="cellIs" dxfId="1705" priority="448" operator="notEqual">
      <formula>0</formula>
    </cfRule>
  </conditionalFormatting>
  <conditionalFormatting sqref="V32:V33">
    <cfRule type="cellIs" dxfId="1704" priority="445" operator="equal">
      <formula>0</formula>
    </cfRule>
    <cfRule type="cellIs" dxfId="1703" priority="446" operator="notEqual">
      <formula>0</formula>
    </cfRule>
  </conditionalFormatting>
  <conditionalFormatting sqref="W32:W33">
    <cfRule type="cellIs" dxfId="1702" priority="443" operator="equal">
      <formula>0</formula>
    </cfRule>
    <cfRule type="cellIs" dxfId="1701" priority="444" operator="notEqual">
      <formula>0</formula>
    </cfRule>
  </conditionalFormatting>
  <conditionalFormatting sqref="X32:X33">
    <cfRule type="cellIs" dxfId="1700" priority="441" operator="equal">
      <formula>0</formula>
    </cfRule>
    <cfRule type="cellIs" dxfId="1699" priority="442" operator="notEqual">
      <formula>0</formula>
    </cfRule>
  </conditionalFormatting>
  <conditionalFormatting sqref="Y32:Y33">
    <cfRule type="cellIs" dxfId="1698" priority="439" operator="equal">
      <formula>0</formula>
    </cfRule>
    <cfRule type="cellIs" dxfId="1697" priority="440" operator="notEqual">
      <formula>0</formula>
    </cfRule>
  </conditionalFormatting>
  <conditionalFormatting sqref="Z32:Z33">
    <cfRule type="cellIs" dxfId="1696" priority="437" operator="equal">
      <formula>0</formula>
    </cfRule>
    <cfRule type="cellIs" dxfId="1695" priority="438" operator="notEqual">
      <formula>0</formula>
    </cfRule>
  </conditionalFormatting>
  <conditionalFormatting sqref="AA32:AA33">
    <cfRule type="cellIs" dxfId="1694" priority="435" operator="equal">
      <formula>0</formula>
    </cfRule>
    <cfRule type="cellIs" dxfId="1693" priority="436" operator="notEqual">
      <formula>0</formula>
    </cfRule>
  </conditionalFormatting>
  <conditionalFormatting sqref="AB32:AB33">
    <cfRule type="cellIs" dxfId="1692" priority="433" operator="equal">
      <formula>0</formula>
    </cfRule>
    <cfRule type="cellIs" dxfId="1691" priority="434" operator="notEqual">
      <formula>0</formula>
    </cfRule>
  </conditionalFormatting>
  <conditionalFormatting sqref="AG31">
    <cfRule type="cellIs" dxfId="1690" priority="431" operator="equal">
      <formula>0</formula>
    </cfRule>
    <cfRule type="cellIs" dxfId="1689" priority="432" operator="notEqual">
      <formula>0</formula>
    </cfRule>
  </conditionalFormatting>
  <conditionalFormatting sqref="AG34">
    <cfRule type="cellIs" dxfId="1688" priority="429" operator="equal">
      <formula>0</formula>
    </cfRule>
    <cfRule type="cellIs" dxfId="1687" priority="430" operator="notEqual">
      <formula>0</formula>
    </cfRule>
  </conditionalFormatting>
  <conditionalFormatting sqref="AH31">
    <cfRule type="cellIs" dxfId="1686" priority="427" operator="equal">
      <formula>0</formula>
    </cfRule>
    <cfRule type="cellIs" dxfId="1685" priority="428" operator="notEqual">
      <formula>0</formula>
    </cfRule>
  </conditionalFormatting>
  <conditionalFormatting sqref="AH34">
    <cfRule type="cellIs" dxfId="1684" priority="425" operator="equal">
      <formula>0</formula>
    </cfRule>
    <cfRule type="cellIs" dxfId="1683" priority="426" operator="notEqual">
      <formula>0</formula>
    </cfRule>
  </conditionalFormatting>
  <conditionalFormatting sqref="AI31">
    <cfRule type="cellIs" dxfId="1682" priority="423" operator="equal">
      <formula>0</formula>
    </cfRule>
    <cfRule type="cellIs" dxfId="1681" priority="424" operator="notEqual">
      <formula>0</formula>
    </cfRule>
  </conditionalFormatting>
  <conditionalFormatting sqref="AI34">
    <cfRule type="cellIs" dxfId="1680" priority="421" operator="equal">
      <formula>0</formula>
    </cfRule>
    <cfRule type="cellIs" dxfId="1679" priority="422" operator="notEqual">
      <formula>0</formula>
    </cfRule>
  </conditionalFormatting>
  <conditionalFormatting sqref="AJ31">
    <cfRule type="cellIs" dxfId="1678" priority="419" operator="equal">
      <formula>0</formula>
    </cfRule>
    <cfRule type="cellIs" dxfId="1677" priority="420" operator="notEqual">
      <formula>0</formula>
    </cfRule>
  </conditionalFormatting>
  <conditionalFormatting sqref="AJ34">
    <cfRule type="cellIs" dxfId="1676" priority="417" operator="equal">
      <formula>0</formula>
    </cfRule>
    <cfRule type="cellIs" dxfId="1675" priority="418" operator="notEqual">
      <formula>0</formula>
    </cfRule>
  </conditionalFormatting>
  <conditionalFormatting sqref="U25:U26">
    <cfRule type="cellIs" dxfId="1674" priority="415" operator="equal">
      <formula>0</formula>
    </cfRule>
    <cfRule type="cellIs" dxfId="1673" priority="416" operator="notEqual">
      <formula>0</formula>
    </cfRule>
  </conditionalFormatting>
  <conditionalFormatting sqref="V25:V26">
    <cfRule type="cellIs" dxfId="1672" priority="413" operator="equal">
      <formula>0</formula>
    </cfRule>
    <cfRule type="cellIs" dxfId="1671" priority="414" operator="notEqual">
      <formula>0</formula>
    </cfRule>
  </conditionalFormatting>
  <conditionalFormatting sqref="W25:W26">
    <cfRule type="cellIs" dxfId="1670" priority="411" operator="equal">
      <formula>0</formula>
    </cfRule>
    <cfRule type="cellIs" dxfId="1669" priority="412" operator="notEqual">
      <formula>0</formula>
    </cfRule>
  </conditionalFormatting>
  <conditionalFormatting sqref="X25:X26">
    <cfRule type="cellIs" dxfId="1668" priority="409" operator="equal">
      <formula>0</formula>
    </cfRule>
    <cfRule type="cellIs" dxfId="1667" priority="410" operator="notEqual">
      <formula>0</formula>
    </cfRule>
  </conditionalFormatting>
  <conditionalFormatting sqref="Y25:Y26">
    <cfRule type="cellIs" dxfId="1666" priority="407" operator="equal">
      <formula>0</formula>
    </cfRule>
    <cfRule type="cellIs" dxfId="1665" priority="408" operator="notEqual">
      <formula>0</formula>
    </cfRule>
  </conditionalFormatting>
  <conditionalFormatting sqref="Z25:Z26">
    <cfRule type="cellIs" dxfId="1664" priority="405" operator="equal">
      <formula>0</formula>
    </cfRule>
    <cfRule type="cellIs" dxfId="1663" priority="406" operator="notEqual">
      <formula>0</formula>
    </cfRule>
  </conditionalFormatting>
  <conditionalFormatting sqref="AA25:AA26">
    <cfRule type="cellIs" dxfId="1662" priority="403" operator="equal">
      <formula>0</formula>
    </cfRule>
    <cfRule type="cellIs" dxfId="1661" priority="404" operator="notEqual">
      <formula>0</formula>
    </cfRule>
  </conditionalFormatting>
  <conditionalFormatting sqref="AB25:AB26">
    <cfRule type="cellIs" dxfId="1660" priority="401" operator="equal">
      <formula>0</formula>
    </cfRule>
    <cfRule type="cellIs" dxfId="1659" priority="402" operator="notEqual">
      <formula>0</formula>
    </cfRule>
  </conditionalFormatting>
  <conditionalFormatting sqref="AG24">
    <cfRule type="cellIs" dxfId="1658" priority="399" operator="equal">
      <formula>0</formula>
    </cfRule>
    <cfRule type="cellIs" dxfId="1657" priority="400" operator="notEqual">
      <formula>0</formula>
    </cfRule>
  </conditionalFormatting>
  <conditionalFormatting sqref="AG27">
    <cfRule type="cellIs" dxfId="1656" priority="397" operator="equal">
      <formula>0</formula>
    </cfRule>
    <cfRule type="cellIs" dxfId="1655" priority="398" operator="notEqual">
      <formula>0</formula>
    </cfRule>
  </conditionalFormatting>
  <conditionalFormatting sqref="AH24">
    <cfRule type="cellIs" dxfId="1654" priority="395" operator="equal">
      <formula>0</formula>
    </cfRule>
    <cfRule type="cellIs" dxfId="1653" priority="396" operator="notEqual">
      <formula>0</formula>
    </cfRule>
  </conditionalFormatting>
  <conditionalFormatting sqref="AH27">
    <cfRule type="cellIs" dxfId="1652" priority="393" operator="equal">
      <formula>0</formula>
    </cfRule>
    <cfRule type="cellIs" dxfId="1651" priority="394" operator="notEqual">
      <formula>0</formula>
    </cfRule>
  </conditionalFormatting>
  <conditionalFormatting sqref="AI24">
    <cfRule type="cellIs" dxfId="1650" priority="391" operator="equal">
      <formula>0</formula>
    </cfRule>
    <cfRule type="cellIs" dxfId="1649" priority="392" operator="notEqual">
      <formula>0</formula>
    </cfRule>
  </conditionalFormatting>
  <conditionalFormatting sqref="AI27">
    <cfRule type="cellIs" dxfId="1648" priority="389" operator="equal">
      <formula>0</formula>
    </cfRule>
    <cfRule type="cellIs" dxfId="1647" priority="390" operator="notEqual">
      <formula>0</formula>
    </cfRule>
  </conditionalFormatting>
  <conditionalFormatting sqref="AJ24">
    <cfRule type="cellIs" dxfId="1646" priority="387" operator="equal">
      <formula>0</formula>
    </cfRule>
    <cfRule type="cellIs" dxfId="1645" priority="388" operator="notEqual">
      <formula>0</formula>
    </cfRule>
  </conditionalFormatting>
  <conditionalFormatting sqref="AJ27">
    <cfRule type="cellIs" dxfId="1644" priority="385" operator="equal">
      <formula>0</formula>
    </cfRule>
    <cfRule type="cellIs" dxfId="1643" priority="386" operator="notEqual">
      <formula>0</formula>
    </cfRule>
  </conditionalFormatting>
  <conditionalFormatting sqref="U18:U19">
    <cfRule type="cellIs" dxfId="1642" priority="383" operator="equal">
      <formula>0</formula>
    </cfRule>
    <cfRule type="cellIs" dxfId="1641" priority="384" operator="notEqual">
      <formula>0</formula>
    </cfRule>
  </conditionalFormatting>
  <conditionalFormatting sqref="V18:V19">
    <cfRule type="cellIs" dxfId="1640" priority="381" operator="equal">
      <formula>0</formula>
    </cfRule>
    <cfRule type="cellIs" dxfId="1639" priority="382" operator="notEqual">
      <formula>0</formula>
    </cfRule>
  </conditionalFormatting>
  <conditionalFormatting sqref="W18:W19">
    <cfRule type="cellIs" dxfId="1638" priority="379" operator="equal">
      <formula>0</formula>
    </cfRule>
    <cfRule type="cellIs" dxfId="1637" priority="380" operator="notEqual">
      <formula>0</formula>
    </cfRule>
  </conditionalFormatting>
  <conditionalFormatting sqref="X18:X19">
    <cfRule type="cellIs" dxfId="1636" priority="377" operator="equal">
      <formula>0</formula>
    </cfRule>
    <cfRule type="cellIs" dxfId="1635" priority="378" operator="notEqual">
      <formula>0</formula>
    </cfRule>
  </conditionalFormatting>
  <conditionalFormatting sqref="Y18:Y19">
    <cfRule type="cellIs" dxfId="1634" priority="375" operator="equal">
      <formula>0</formula>
    </cfRule>
    <cfRule type="cellIs" dxfId="1633" priority="376" operator="notEqual">
      <formula>0</formula>
    </cfRule>
  </conditionalFormatting>
  <conditionalFormatting sqref="Z18:Z19">
    <cfRule type="cellIs" dxfId="1632" priority="373" operator="equal">
      <formula>0</formula>
    </cfRule>
    <cfRule type="cellIs" dxfId="1631" priority="374" operator="notEqual">
      <formula>0</formula>
    </cfRule>
  </conditionalFormatting>
  <conditionalFormatting sqref="AA18:AA19">
    <cfRule type="cellIs" dxfId="1630" priority="371" operator="equal">
      <formula>0</formula>
    </cfRule>
    <cfRule type="cellIs" dxfId="1629" priority="372" operator="notEqual">
      <formula>0</formula>
    </cfRule>
  </conditionalFormatting>
  <conditionalFormatting sqref="AB18:AB19">
    <cfRule type="cellIs" dxfId="1628" priority="369" operator="equal">
      <formula>0</formula>
    </cfRule>
    <cfRule type="cellIs" dxfId="1627" priority="370" operator="notEqual">
      <formula>0</formula>
    </cfRule>
  </conditionalFormatting>
  <conditionalFormatting sqref="AG17">
    <cfRule type="cellIs" dxfId="1626" priority="367" operator="equal">
      <formula>0</formula>
    </cfRule>
    <cfRule type="cellIs" dxfId="1625" priority="368" operator="notEqual">
      <formula>0</formula>
    </cfRule>
  </conditionalFormatting>
  <conditionalFormatting sqref="AG20">
    <cfRule type="cellIs" dxfId="1624" priority="365" operator="equal">
      <formula>0</formula>
    </cfRule>
    <cfRule type="cellIs" dxfId="1623" priority="366" operator="notEqual">
      <formula>0</formula>
    </cfRule>
  </conditionalFormatting>
  <conditionalFormatting sqref="AH17">
    <cfRule type="cellIs" dxfId="1622" priority="363" operator="equal">
      <formula>0</formula>
    </cfRule>
    <cfRule type="cellIs" dxfId="1621" priority="364" operator="notEqual">
      <formula>0</formula>
    </cfRule>
  </conditionalFormatting>
  <conditionalFormatting sqref="AH20">
    <cfRule type="cellIs" dxfId="1620" priority="361" operator="equal">
      <formula>0</formula>
    </cfRule>
    <cfRule type="cellIs" dxfId="1619" priority="362" operator="notEqual">
      <formula>0</formula>
    </cfRule>
  </conditionalFormatting>
  <conditionalFormatting sqref="AI17">
    <cfRule type="cellIs" dxfId="1618" priority="359" operator="equal">
      <formula>0</formula>
    </cfRule>
    <cfRule type="cellIs" dxfId="1617" priority="360" operator="notEqual">
      <formula>0</formula>
    </cfRule>
  </conditionalFormatting>
  <conditionalFormatting sqref="AI20">
    <cfRule type="cellIs" dxfId="1616" priority="357" operator="equal">
      <formula>0</formula>
    </cfRule>
    <cfRule type="cellIs" dxfId="1615" priority="358" operator="notEqual">
      <formula>0</formula>
    </cfRule>
  </conditionalFormatting>
  <conditionalFormatting sqref="AJ17">
    <cfRule type="cellIs" dxfId="1614" priority="355" operator="equal">
      <formula>0</formula>
    </cfRule>
    <cfRule type="cellIs" dxfId="1613" priority="356" operator="notEqual">
      <formula>0</formula>
    </cfRule>
  </conditionalFormatting>
  <conditionalFormatting sqref="AJ20">
    <cfRule type="cellIs" dxfId="1612" priority="353" operator="equal">
      <formula>0</formula>
    </cfRule>
    <cfRule type="cellIs" dxfId="1611" priority="354" operator="notEqual">
      <formula>0</formula>
    </cfRule>
  </conditionalFormatting>
  <conditionalFormatting sqref="U11:U12">
    <cfRule type="cellIs" dxfId="1610" priority="351" operator="equal">
      <formula>0</formula>
    </cfRule>
    <cfRule type="cellIs" dxfId="1609" priority="352" operator="notEqual">
      <formula>0</formula>
    </cfRule>
  </conditionalFormatting>
  <conditionalFormatting sqref="V11:V12">
    <cfRule type="cellIs" dxfId="1608" priority="349" operator="equal">
      <formula>0</formula>
    </cfRule>
    <cfRule type="cellIs" dxfId="1607" priority="350" operator="notEqual">
      <formula>0</formula>
    </cfRule>
  </conditionalFormatting>
  <conditionalFormatting sqref="W11:W12">
    <cfRule type="cellIs" dxfId="1606" priority="347" operator="equal">
      <formula>0</formula>
    </cfRule>
    <cfRule type="cellIs" dxfId="1605" priority="348" operator="notEqual">
      <formula>0</formula>
    </cfRule>
  </conditionalFormatting>
  <conditionalFormatting sqref="X11:X12">
    <cfRule type="cellIs" dxfId="1604" priority="345" operator="equal">
      <formula>0</formula>
    </cfRule>
    <cfRule type="cellIs" dxfId="1603" priority="346" operator="notEqual">
      <formula>0</formula>
    </cfRule>
  </conditionalFormatting>
  <conditionalFormatting sqref="Y11:Y12">
    <cfRule type="cellIs" dxfId="1602" priority="343" operator="equal">
      <formula>0</formula>
    </cfRule>
    <cfRule type="cellIs" dxfId="1601" priority="344" operator="notEqual">
      <formula>0</formula>
    </cfRule>
  </conditionalFormatting>
  <conditionalFormatting sqref="Z11:Z12">
    <cfRule type="cellIs" dxfId="1600" priority="341" operator="equal">
      <formula>0</formula>
    </cfRule>
    <cfRule type="cellIs" dxfId="1599" priority="342" operator="notEqual">
      <formula>0</formula>
    </cfRule>
  </conditionalFormatting>
  <conditionalFormatting sqref="AA11:AA12">
    <cfRule type="cellIs" dxfId="1598" priority="339" operator="equal">
      <formula>0</formula>
    </cfRule>
    <cfRule type="cellIs" dxfId="1597" priority="340" operator="notEqual">
      <formula>0</formula>
    </cfRule>
  </conditionalFormatting>
  <conditionalFormatting sqref="AB11:AB12">
    <cfRule type="cellIs" dxfId="1596" priority="337" operator="equal">
      <formula>0</formula>
    </cfRule>
    <cfRule type="cellIs" dxfId="1595" priority="338" operator="notEqual">
      <formula>0</formula>
    </cfRule>
  </conditionalFormatting>
  <conditionalFormatting sqref="AG10">
    <cfRule type="cellIs" dxfId="1594" priority="335" operator="equal">
      <formula>0</formula>
    </cfRule>
    <cfRule type="cellIs" dxfId="1593" priority="336" operator="notEqual">
      <formula>0</formula>
    </cfRule>
  </conditionalFormatting>
  <conditionalFormatting sqref="AG13">
    <cfRule type="cellIs" dxfId="1592" priority="333" operator="equal">
      <formula>0</formula>
    </cfRule>
    <cfRule type="cellIs" dxfId="1591" priority="334" operator="notEqual">
      <formula>0</formula>
    </cfRule>
  </conditionalFormatting>
  <conditionalFormatting sqref="AH10">
    <cfRule type="cellIs" dxfId="1590" priority="331" operator="equal">
      <formula>0</formula>
    </cfRule>
    <cfRule type="cellIs" dxfId="1589" priority="332" operator="notEqual">
      <formula>0</formula>
    </cfRule>
  </conditionalFormatting>
  <conditionalFormatting sqref="AH13">
    <cfRule type="cellIs" dxfId="1588" priority="329" operator="equal">
      <formula>0</formula>
    </cfRule>
    <cfRule type="cellIs" dxfId="1587" priority="330" operator="notEqual">
      <formula>0</formula>
    </cfRule>
  </conditionalFormatting>
  <conditionalFormatting sqref="AI10">
    <cfRule type="cellIs" dxfId="1586" priority="327" operator="equal">
      <formula>0</formula>
    </cfRule>
    <cfRule type="cellIs" dxfId="1585" priority="328" operator="notEqual">
      <formula>0</formula>
    </cfRule>
  </conditionalFormatting>
  <conditionalFormatting sqref="AI13">
    <cfRule type="cellIs" dxfId="1584" priority="325" operator="equal">
      <formula>0</formula>
    </cfRule>
    <cfRule type="cellIs" dxfId="1583" priority="326" operator="notEqual">
      <formula>0</formula>
    </cfRule>
  </conditionalFormatting>
  <conditionalFormatting sqref="AJ10">
    <cfRule type="cellIs" dxfId="1582" priority="323" operator="equal">
      <formula>0</formula>
    </cfRule>
    <cfRule type="cellIs" dxfId="1581" priority="324" operator="notEqual">
      <formula>0</formula>
    </cfRule>
  </conditionalFormatting>
  <conditionalFormatting sqref="AJ13">
    <cfRule type="cellIs" dxfId="1580" priority="321" operator="equal">
      <formula>0</formula>
    </cfRule>
    <cfRule type="cellIs" dxfId="1579" priority="322" operator="notEqual">
      <formula>0</formula>
    </cfRule>
  </conditionalFormatting>
  <conditionalFormatting sqref="C81:C82">
    <cfRule type="cellIs" dxfId="1578" priority="319" operator="equal">
      <formula>0</formula>
    </cfRule>
    <cfRule type="cellIs" dxfId="1577" priority="320" operator="notEqual">
      <formula>0</formula>
    </cfRule>
  </conditionalFormatting>
  <conditionalFormatting sqref="D81:D82">
    <cfRule type="cellIs" dxfId="1576" priority="317" operator="equal">
      <formula>0</formula>
    </cfRule>
    <cfRule type="cellIs" dxfId="1575" priority="318" operator="notEqual">
      <formula>0</formula>
    </cfRule>
  </conditionalFormatting>
  <conditionalFormatting sqref="E81:E82">
    <cfRule type="cellIs" dxfId="1574" priority="315" operator="equal">
      <formula>0</formula>
    </cfRule>
    <cfRule type="cellIs" dxfId="1573" priority="316" operator="notEqual">
      <formula>0</formula>
    </cfRule>
  </conditionalFormatting>
  <conditionalFormatting sqref="F81:F82">
    <cfRule type="cellIs" dxfId="1572" priority="313" operator="equal">
      <formula>0</formula>
    </cfRule>
    <cfRule type="cellIs" dxfId="1571" priority="314" operator="notEqual">
      <formula>0</formula>
    </cfRule>
  </conditionalFormatting>
  <conditionalFormatting sqref="G81:G82">
    <cfRule type="cellIs" dxfId="1570" priority="311" operator="equal">
      <formula>0</formula>
    </cfRule>
    <cfRule type="cellIs" dxfId="1569" priority="312" operator="notEqual">
      <formula>0</formula>
    </cfRule>
  </conditionalFormatting>
  <conditionalFormatting sqref="H81:H82">
    <cfRule type="cellIs" dxfId="1568" priority="309" operator="equal">
      <formula>0</formula>
    </cfRule>
    <cfRule type="cellIs" dxfId="1567" priority="310" operator="notEqual">
      <formula>0</formula>
    </cfRule>
  </conditionalFormatting>
  <conditionalFormatting sqref="I81:I82">
    <cfRule type="cellIs" dxfId="1566" priority="307" operator="equal">
      <formula>0</formula>
    </cfRule>
    <cfRule type="cellIs" dxfId="1565" priority="308" operator="notEqual">
      <formula>0</formula>
    </cfRule>
  </conditionalFormatting>
  <conditionalFormatting sqref="J81:J82">
    <cfRule type="cellIs" dxfId="1564" priority="305" operator="equal">
      <formula>0</formula>
    </cfRule>
    <cfRule type="cellIs" dxfId="1563" priority="306" operator="notEqual">
      <formula>0</formula>
    </cfRule>
  </conditionalFormatting>
  <conditionalFormatting sqref="O80">
    <cfRule type="cellIs" dxfId="1562" priority="303" operator="equal">
      <formula>0</formula>
    </cfRule>
    <cfRule type="cellIs" dxfId="1561" priority="304" operator="notEqual">
      <formula>0</formula>
    </cfRule>
  </conditionalFormatting>
  <conditionalFormatting sqref="O83">
    <cfRule type="cellIs" dxfId="1560" priority="301" operator="equal">
      <formula>0</formula>
    </cfRule>
    <cfRule type="cellIs" dxfId="1559" priority="302" operator="notEqual">
      <formula>0</formula>
    </cfRule>
  </conditionalFormatting>
  <conditionalFormatting sqref="P80">
    <cfRule type="cellIs" dxfId="1558" priority="299" operator="equal">
      <formula>0</formula>
    </cfRule>
    <cfRule type="cellIs" dxfId="1557" priority="300" operator="notEqual">
      <formula>0</formula>
    </cfRule>
  </conditionalFormatting>
  <conditionalFormatting sqref="P83">
    <cfRule type="cellIs" dxfId="1556" priority="297" operator="equal">
      <formula>0</formula>
    </cfRule>
    <cfRule type="cellIs" dxfId="1555" priority="298" operator="notEqual">
      <formula>0</formula>
    </cfRule>
  </conditionalFormatting>
  <conditionalFormatting sqref="Q80">
    <cfRule type="cellIs" dxfId="1554" priority="295" operator="equal">
      <formula>0</formula>
    </cfRule>
    <cfRule type="cellIs" dxfId="1553" priority="296" operator="notEqual">
      <formula>0</formula>
    </cfRule>
  </conditionalFormatting>
  <conditionalFormatting sqref="Q83">
    <cfRule type="cellIs" dxfId="1552" priority="293" operator="equal">
      <formula>0</formula>
    </cfRule>
    <cfRule type="cellIs" dxfId="1551" priority="294" operator="notEqual">
      <formula>0</formula>
    </cfRule>
  </conditionalFormatting>
  <conditionalFormatting sqref="R80">
    <cfRule type="cellIs" dxfId="1550" priority="291" operator="equal">
      <formula>0</formula>
    </cfRule>
    <cfRule type="cellIs" dxfId="1549" priority="292" operator="notEqual">
      <formula>0</formula>
    </cfRule>
  </conditionalFormatting>
  <conditionalFormatting sqref="R83">
    <cfRule type="cellIs" dxfId="1548" priority="289" operator="equal">
      <formula>0</formula>
    </cfRule>
    <cfRule type="cellIs" dxfId="1547" priority="290" operator="notEqual">
      <formula>0</formula>
    </cfRule>
  </conditionalFormatting>
  <conditionalFormatting sqref="C88:C89">
    <cfRule type="cellIs" dxfId="1546" priority="287" operator="equal">
      <formula>0</formula>
    </cfRule>
    <cfRule type="cellIs" dxfId="1545" priority="288" operator="notEqual">
      <formula>0</formula>
    </cfRule>
  </conditionalFormatting>
  <conditionalFormatting sqref="D88:D89">
    <cfRule type="cellIs" dxfId="1544" priority="285" operator="equal">
      <formula>0</formula>
    </cfRule>
    <cfRule type="cellIs" dxfId="1543" priority="286" operator="notEqual">
      <formula>0</formula>
    </cfRule>
  </conditionalFormatting>
  <conditionalFormatting sqref="E88:E89">
    <cfRule type="cellIs" dxfId="1542" priority="283" operator="equal">
      <formula>0</formula>
    </cfRule>
    <cfRule type="cellIs" dxfId="1541" priority="284" operator="notEqual">
      <formula>0</formula>
    </cfRule>
  </conditionalFormatting>
  <conditionalFormatting sqref="F88:F89">
    <cfRule type="cellIs" dxfId="1540" priority="281" operator="equal">
      <formula>0</formula>
    </cfRule>
    <cfRule type="cellIs" dxfId="1539" priority="282" operator="notEqual">
      <formula>0</formula>
    </cfRule>
  </conditionalFormatting>
  <conditionalFormatting sqref="G88:G89">
    <cfRule type="cellIs" dxfId="1538" priority="279" operator="equal">
      <formula>0</formula>
    </cfRule>
    <cfRule type="cellIs" dxfId="1537" priority="280" operator="notEqual">
      <formula>0</formula>
    </cfRule>
  </conditionalFormatting>
  <conditionalFormatting sqref="H88:H89">
    <cfRule type="cellIs" dxfId="1536" priority="277" operator="equal">
      <formula>0</formula>
    </cfRule>
    <cfRule type="cellIs" dxfId="1535" priority="278" operator="notEqual">
      <formula>0</formula>
    </cfRule>
  </conditionalFormatting>
  <conditionalFormatting sqref="I88:I89">
    <cfRule type="cellIs" dxfId="1534" priority="275" operator="equal">
      <formula>0</formula>
    </cfRule>
    <cfRule type="cellIs" dxfId="1533" priority="276" operator="notEqual">
      <formula>0</formula>
    </cfRule>
  </conditionalFormatting>
  <conditionalFormatting sqref="J88:J89">
    <cfRule type="cellIs" dxfId="1532" priority="273" operator="equal">
      <formula>0</formula>
    </cfRule>
    <cfRule type="cellIs" dxfId="1531" priority="274" operator="notEqual">
      <formula>0</formula>
    </cfRule>
  </conditionalFormatting>
  <conditionalFormatting sqref="O87">
    <cfRule type="cellIs" dxfId="1530" priority="271" operator="equal">
      <formula>0</formula>
    </cfRule>
    <cfRule type="cellIs" dxfId="1529" priority="272" operator="notEqual">
      <formula>0</formula>
    </cfRule>
  </conditionalFormatting>
  <conditionalFormatting sqref="O90">
    <cfRule type="cellIs" dxfId="1528" priority="269" operator="equal">
      <formula>0</formula>
    </cfRule>
    <cfRule type="cellIs" dxfId="1527" priority="270" operator="notEqual">
      <formula>0</formula>
    </cfRule>
  </conditionalFormatting>
  <conditionalFormatting sqref="P87">
    <cfRule type="cellIs" dxfId="1526" priority="267" operator="equal">
      <formula>0</formula>
    </cfRule>
    <cfRule type="cellIs" dxfId="1525" priority="268" operator="notEqual">
      <formula>0</formula>
    </cfRule>
  </conditionalFormatting>
  <conditionalFormatting sqref="P90">
    <cfRule type="cellIs" dxfId="1524" priority="265" operator="equal">
      <formula>0</formula>
    </cfRule>
    <cfRule type="cellIs" dxfId="1523" priority="266" operator="notEqual">
      <formula>0</formula>
    </cfRule>
  </conditionalFormatting>
  <conditionalFormatting sqref="Q87">
    <cfRule type="cellIs" dxfId="1522" priority="263" operator="equal">
      <formula>0</formula>
    </cfRule>
    <cfRule type="cellIs" dxfId="1521" priority="264" operator="notEqual">
      <formula>0</formula>
    </cfRule>
  </conditionalFormatting>
  <conditionalFormatting sqref="Q90">
    <cfRule type="cellIs" dxfId="1520" priority="261" operator="equal">
      <formula>0</formula>
    </cfRule>
    <cfRule type="cellIs" dxfId="1519" priority="262" operator="notEqual">
      <formula>0</formula>
    </cfRule>
  </conditionalFormatting>
  <conditionalFormatting sqref="R87">
    <cfRule type="cellIs" dxfId="1518" priority="259" operator="equal">
      <formula>0</formula>
    </cfRule>
    <cfRule type="cellIs" dxfId="1517" priority="260" operator="notEqual">
      <formula>0</formula>
    </cfRule>
  </conditionalFormatting>
  <conditionalFormatting sqref="R90">
    <cfRule type="cellIs" dxfId="1516" priority="257" operator="equal">
      <formula>0</formula>
    </cfRule>
    <cfRule type="cellIs" dxfId="1515" priority="258" operator="notEqual">
      <formula>0</formula>
    </cfRule>
  </conditionalFormatting>
  <conditionalFormatting sqref="C95:C96">
    <cfRule type="cellIs" dxfId="1514" priority="255" operator="equal">
      <formula>0</formula>
    </cfRule>
    <cfRule type="cellIs" dxfId="1513" priority="256" operator="notEqual">
      <formula>0</formula>
    </cfRule>
  </conditionalFormatting>
  <conditionalFormatting sqref="D95:D96">
    <cfRule type="cellIs" dxfId="1512" priority="253" operator="equal">
      <formula>0</formula>
    </cfRule>
    <cfRule type="cellIs" dxfId="1511" priority="254" operator="notEqual">
      <formula>0</formula>
    </cfRule>
  </conditionalFormatting>
  <conditionalFormatting sqref="E95:E96">
    <cfRule type="cellIs" dxfId="1510" priority="251" operator="equal">
      <formula>0</formula>
    </cfRule>
    <cfRule type="cellIs" dxfId="1509" priority="252" operator="notEqual">
      <formula>0</formula>
    </cfRule>
  </conditionalFormatting>
  <conditionalFormatting sqref="F95:F96">
    <cfRule type="cellIs" dxfId="1508" priority="249" operator="equal">
      <formula>0</formula>
    </cfRule>
    <cfRule type="cellIs" dxfId="1507" priority="250" operator="notEqual">
      <formula>0</formula>
    </cfRule>
  </conditionalFormatting>
  <conditionalFormatting sqref="G95:G96">
    <cfRule type="cellIs" dxfId="1506" priority="247" operator="equal">
      <formula>0</formula>
    </cfRule>
    <cfRule type="cellIs" dxfId="1505" priority="248" operator="notEqual">
      <formula>0</formula>
    </cfRule>
  </conditionalFormatting>
  <conditionalFormatting sqref="H95:H96">
    <cfRule type="cellIs" dxfId="1504" priority="245" operator="equal">
      <formula>0</formula>
    </cfRule>
    <cfRule type="cellIs" dxfId="1503" priority="246" operator="notEqual">
      <formula>0</formula>
    </cfRule>
  </conditionalFormatting>
  <conditionalFormatting sqref="I95:I96">
    <cfRule type="cellIs" dxfId="1502" priority="243" operator="equal">
      <formula>0</formula>
    </cfRule>
    <cfRule type="cellIs" dxfId="1501" priority="244" operator="notEqual">
      <formula>0</formula>
    </cfRule>
  </conditionalFormatting>
  <conditionalFormatting sqref="J95:J96">
    <cfRule type="cellIs" dxfId="1500" priority="241" operator="equal">
      <formula>0</formula>
    </cfRule>
    <cfRule type="cellIs" dxfId="1499" priority="242" operator="notEqual">
      <formula>0</formula>
    </cfRule>
  </conditionalFormatting>
  <conditionalFormatting sqref="O94">
    <cfRule type="cellIs" dxfId="1498" priority="239" operator="equal">
      <formula>0</formula>
    </cfRule>
    <cfRule type="cellIs" dxfId="1497" priority="240" operator="notEqual">
      <formula>0</formula>
    </cfRule>
  </conditionalFormatting>
  <conditionalFormatting sqref="O97">
    <cfRule type="cellIs" dxfId="1496" priority="237" operator="equal">
      <formula>0</formula>
    </cfRule>
    <cfRule type="cellIs" dxfId="1495" priority="238" operator="notEqual">
      <formula>0</formula>
    </cfRule>
  </conditionalFormatting>
  <conditionalFormatting sqref="P94">
    <cfRule type="cellIs" dxfId="1494" priority="235" operator="equal">
      <formula>0</formula>
    </cfRule>
    <cfRule type="cellIs" dxfId="1493" priority="236" operator="notEqual">
      <formula>0</formula>
    </cfRule>
  </conditionalFormatting>
  <conditionalFormatting sqref="P97">
    <cfRule type="cellIs" dxfId="1492" priority="233" operator="equal">
      <formula>0</formula>
    </cfRule>
    <cfRule type="cellIs" dxfId="1491" priority="234" operator="notEqual">
      <formula>0</formula>
    </cfRule>
  </conditionalFormatting>
  <conditionalFormatting sqref="Q94">
    <cfRule type="cellIs" dxfId="1490" priority="231" operator="equal">
      <formula>0</formula>
    </cfRule>
    <cfRule type="cellIs" dxfId="1489" priority="232" operator="notEqual">
      <formula>0</formula>
    </cfRule>
  </conditionalFormatting>
  <conditionalFormatting sqref="Q97">
    <cfRule type="cellIs" dxfId="1488" priority="229" operator="equal">
      <formula>0</formula>
    </cfRule>
    <cfRule type="cellIs" dxfId="1487" priority="230" operator="notEqual">
      <formula>0</formula>
    </cfRule>
  </conditionalFormatting>
  <conditionalFormatting sqref="R94">
    <cfRule type="cellIs" dxfId="1486" priority="227" operator="equal">
      <formula>0</formula>
    </cfRule>
    <cfRule type="cellIs" dxfId="1485" priority="228" operator="notEqual">
      <formula>0</formula>
    </cfRule>
  </conditionalFormatting>
  <conditionalFormatting sqref="R97">
    <cfRule type="cellIs" dxfId="1484" priority="225" operator="equal">
      <formula>0</formula>
    </cfRule>
    <cfRule type="cellIs" dxfId="1483" priority="226" operator="notEqual">
      <formula>0</formula>
    </cfRule>
  </conditionalFormatting>
  <conditionalFormatting sqref="C102:C103">
    <cfRule type="cellIs" dxfId="1482" priority="223" operator="equal">
      <formula>0</formula>
    </cfRule>
    <cfRule type="cellIs" dxfId="1481" priority="224" operator="notEqual">
      <formula>0</formula>
    </cfRule>
  </conditionalFormatting>
  <conditionalFormatting sqref="D102:D103">
    <cfRule type="cellIs" dxfId="1480" priority="221" operator="equal">
      <formula>0</formula>
    </cfRule>
    <cfRule type="cellIs" dxfId="1479" priority="222" operator="notEqual">
      <formula>0</formula>
    </cfRule>
  </conditionalFormatting>
  <conditionalFormatting sqref="E102:E103">
    <cfRule type="cellIs" dxfId="1478" priority="219" operator="equal">
      <formula>0</formula>
    </cfRule>
    <cfRule type="cellIs" dxfId="1477" priority="220" operator="notEqual">
      <formula>0</formula>
    </cfRule>
  </conditionalFormatting>
  <conditionalFormatting sqref="F102:F103">
    <cfRule type="cellIs" dxfId="1476" priority="217" operator="equal">
      <formula>0</formula>
    </cfRule>
    <cfRule type="cellIs" dxfId="1475" priority="218" operator="notEqual">
      <formula>0</formula>
    </cfRule>
  </conditionalFormatting>
  <conditionalFormatting sqref="G102:G103">
    <cfRule type="cellIs" dxfId="1474" priority="215" operator="equal">
      <formula>0</formula>
    </cfRule>
    <cfRule type="cellIs" dxfId="1473" priority="216" operator="notEqual">
      <formula>0</formula>
    </cfRule>
  </conditionalFormatting>
  <conditionalFormatting sqref="H102:H103">
    <cfRule type="cellIs" dxfId="1472" priority="213" operator="equal">
      <formula>0</formula>
    </cfRule>
    <cfRule type="cellIs" dxfId="1471" priority="214" operator="notEqual">
      <formula>0</formula>
    </cfRule>
  </conditionalFormatting>
  <conditionalFormatting sqref="I102:I103">
    <cfRule type="cellIs" dxfId="1470" priority="211" operator="equal">
      <formula>0</formula>
    </cfRule>
    <cfRule type="cellIs" dxfId="1469" priority="212" operator="notEqual">
      <formula>0</formula>
    </cfRule>
  </conditionalFormatting>
  <conditionalFormatting sqref="J102:J103">
    <cfRule type="cellIs" dxfId="1468" priority="209" operator="equal">
      <formula>0</formula>
    </cfRule>
    <cfRule type="cellIs" dxfId="1467" priority="210" operator="notEqual">
      <formula>0</formula>
    </cfRule>
  </conditionalFormatting>
  <conditionalFormatting sqref="O101">
    <cfRule type="cellIs" dxfId="1466" priority="207" operator="equal">
      <formula>0</formula>
    </cfRule>
    <cfRule type="cellIs" dxfId="1465" priority="208" operator="notEqual">
      <formula>0</formula>
    </cfRule>
  </conditionalFormatting>
  <conditionalFormatting sqref="O104">
    <cfRule type="cellIs" dxfId="1464" priority="205" operator="equal">
      <formula>0</formula>
    </cfRule>
    <cfRule type="cellIs" dxfId="1463" priority="206" operator="notEqual">
      <formula>0</formula>
    </cfRule>
  </conditionalFormatting>
  <conditionalFormatting sqref="P101">
    <cfRule type="cellIs" dxfId="1462" priority="203" operator="equal">
      <formula>0</formula>
    </cfRule>
    <cfRule type="cellIs" dxfId="1461" priority="204" operator="notEqual">
      <formula>0</formula>
    </cfRule>
  </conditionalFormatting>
  <conditionalFormatting sqref="P104">
    <cfRule type="cellIs" dxfId="1460" priority="201" operator="equal">
      <formula>0</formula>
    </cfRule>
    <cfRule type="cellIs" dxfId="1459" priority="202" operator="notEqual">
      <formula>0</formula>
    </cfRule>
  </conditionalFormatting>
  <conditionalFormatting sqref="Q101">
    <cfRule type="cellIs" dxfId="1458" priority="199" operator="equal">
      <formula>0</formula>
    </cfRule>
    <cfRule type="cellIs" dxfId="1457" priority="200" operator="notEqual">
      <formula>0</formula>
    </cfRule>
  </conditionalFormatting>
  <conditionalFormatting sqref="Q104">
    <cfRule type="cellIs" dxfId="1456" priority="197" operator="equal">
      <formula>0</formula>
    </cfRule>
    <cfRule type="cellIs" dxfId="1455" priority="198" operator="notEqual">
      <formula>0</formula>
    </cfRule>
  </conditionalFormatting>
  <conditionalFormatting sqref="R101">
    <cfRule type="cellIs" dxfId="1454" priority="195" operator="equal">
      <formula>0</formula>
    </cfRule>
    <cfRule type="cellIs" dxfId="1453" priority="196" operator="notEqual">
      <formula>0</formula>
    </cfRule>
  </conditionalFormatting>
  <conditionalFormatting sqref="R104">
    <cfRule type="cellIs" dxfId="1452" priority="193" operator="equal">
      <formula>0</formula>
    </cfRule>
    <cfRule type="cellIs" dxfId="1451" priority="194" operator="notEqual">
      <formula>0</formula>
    </cfRule>
  </conditionalFormatting>
  <conditionalFormatting sqref="U74:U75">
    <cfRule type="cellIs" dxfId="1450" priority="159" operator="equal">
      <formula>0</formula>
    </cfRule>
    <cfRule type="cellIs" dxfId="1449" priority="160" operator="notEqual">
      <formula>0</formula>
    </cfRule>
  </conditionalFormatting>
  <conditionalFormatting sqref="V74:V75">
    <cfRule type="cellIs" dxfId="1448" priority="157" operator="equal">
      <formula>0</formula>
    </cfRule>
    <cfRule type="cellIs" dxfId="1447" priority="158" operator="notEqual">
      <formula>0</formula>
    </cfRule>
  </conditionalFormatting>
  <conditionalFormatting sqref="W74:W75">
    <cfRule type="cellIs" dxfId="1446" priority="155" operator="equal">
      <formula>0</formula>
    </cfRule>
    <cfRule type="cellIs" dxfId="1445" priority="156" operator="notEqual">
      <formula>0</formula>
    </cfRule>
  </conditionalFormatting>
  <conditionalFormatting sqref="X74:X75">
    <cfRule type="cellIs" dxfId="1444" priority="153" operator="equal">
      <formula>0</formula>
    </cfRule>
    <cfRule type="cellIs" dxfId="1443" priority="154" operator="notEqual">
      <formula>0</formula>
    </cfRule>
  </conditionalFormatting>
  <conditionalFormatting sqref="Y74:Y75">
    <cfRule type="cellIs" dxfId="1442" priority="151" operator="equal">
      <formula>0</formula>
    </cfRule>
    <cfRule type="cellIs" dxfId="1441" priority="152" operator="notEqual">
      <formula>0</formula>
    </cfRule>
  </conditionalFormatting>
  <conditionalFormatting sqref="Z74:Z75">
    <cfRule type="cellIs" dxfId="1440" priority="149" operator="equal">
      <formula>0</formula>
    </cfRule>
    <cfRule type="cellIs" dxfId="1439" priority="150" operator="notEqual">
      <formula>0</formula>
    </cfRule>
  </conditionalFormatting>
  <conditionalFormatting sqref="AA74:AA75">
    <cfRule type="cellIs" dxfId="1438" priority="147" operator="equal">
      <formula>0</formula>
    </cfRule>
    <cfRule type="cellIs" dxfId="1437" priority="148" operator="notEqual">
      <formula>0</formula>
    </cfRule>
  </conditionalFormatting>
  <conditionalFormatting sqref="AB74:AB75">
    <cfRule type="cellIs" dxfId="1436" priority="145" operator="equal">
      <formula>0</formula>
    </cfRule>
    <cfRule type="cellIs" dxfId="1435" priority="146" operator="notEqual">
      <formula>0</formula>
    </cfRule>
  </conditionalFormatting>
  <conditionalFormatting sqref="AG73">
    <cfRule type="cellIs" dxfId="1434" priority="143" operator="equal">
      <formula>0</formula>
    </cfRule>
    <cfRule type="cellIs" dxfId="1433" priority="144" operator="notEqual">
      <formula>0</formula>
    </cfRule>
  </conditionalFormatting>
  <conditionalFormatting sqref="AG76">
    <cfRule type="cellIs" dxfId="1432" priority="141" operator="equal">
      <formula>0</formula>
    </cfRule>
    <cfRule type="cellIs" dxfId="1431" priority="142" operator="notEqual">
      <formula>0</formula>
    </cfRule>
  </conditionalFormatting>
  <conditionalFormatting sqref="AH73">
    <cfRule type="cellIs" dxfId="1430" priority="139" operator="equal">
      <formula>0</formula>
    </cfRule>
    <cfRule type="cellIs" dxfId="1429" priority="140" operator="notEqual">
      <formula>0</formula>
    </cfRule>
  </conditionalFormatting>
  <conditionalFormatting sqref="AH76">
    <cfRule type="cellIs" dxfId="1428" priority="137" operator="equal">
      <formula>0</formula>
    </cfRule>
    <cfRule type="cellIs" dxfId="1427" priority="138" operator="notEqual">
      <formula>0</formula>
    </cfRule>
  </conditionalFormatting>
  <conditionalFormatting sqref="AI73">
    <cfRule type="cellIs" dxfId="1426" priority="135" operator="equal">
      <formula>0</formula>
    </cfRule>
    <cfRule type="cellIs" dxfId="1425" priority="136" operator="notEqual">
      <formula>0</formula>
    </cfRule>
  </conditionalFormatting>
  <conditionalFormatting sqref="AI76">
    <cfRule type="cellIs" dxfId="1424" priority="133" operator="equal">
      <formula>0</formula>
    </cfRule>
    <cfRule type="cellIs" dxfId="1423" priority="134" operator="notEqual">
      <formula>0</formula>
    </cfRule>
  </conditionalFormatting>
  <conditionalFormatting sqref="AJ73">
    <cfRule type="cellIs" dxfId="1422" priority="131" operator="equal">
      <formula>0</formula>
    </cfRule>
    <cfRule type="cellIs" dxfId="1421" priority="132" operator="notEqual">
      <formula>0</formula>
    </cfRule>
  </conditionalFormatting>
  <conditionalFormatting sqref="AJ76">
    <cfRule type="cellIs" dxfId="1420" priority="129" operator="equal">
      <formula>0</formula>
    </cfRule>
    <cfRule type="cellIs" dxfId="1419" priority="130" operator="notEqual">
      <formula>0</formula>
    </cfRule>
  </conditionalFormatting>
  <conditionalFormatting sqref="U81:U82">
    <cfRule type="cellIs" dxfId="1418" priority="127" operator="equal">
      <formula>0</formula>
    </cfRule>
    <cfRule type="cellIs" dxfId="1417" priority="128" operator="notEqual">
      <formula>0</formula>
    </cfRule>
  </conditionalFormatting>
  <conditionalFormatting sqref="V81:V82">
    <cfRule type="cellIs" dxfId="1416" priority="125" operator="equal">
      <formula>0</formula>
    </cfRule>
    <cfRule type="cellIs" dxfId="1415" priority="126" operator="notEqual">
      <formula>0</formula>
    </cfRule>
  </conditionalFormatting>
  <conditionalFormatting sqref="W81:W82">
    <cfRule type="cellIs" dxfId="1414" priority="123" operator="equal">
      <formula>0</formula>
    </cfRule>
    <cfRule type="cellIs" dxfId="1413" priority="124" operator="notEqual">
      <formula>0</formula>
    </cfRule>
  </conditionalFormatting>
  <conditionalFormatting sqref="X81:X82">
    <cfRule type="cellIs" dxfId="1412" priority="121" operator="equal">
      <formula>0</formula>
    </cfRule>
    <cfRule type="cellIs" dxfId="1411" priority="122" operator="notEqual">
      <formula>0</formula>
    </cfRule>
  </conditionalFormatting>
  <conditionalFormatting sqref="Y81:Y82">
    <cfRule type="cellIs" dxfId="1410" priority="119" operator="equal">
      <formula>0</formula>
    </cfRule>
    <cfRule type="cellIs" dxfId="1409" priority="120" operator="notEqual">
      <formula>0</formula>
    </cfRule>
  </conditionalFormatting>
  <conditionalFormatting sqref="Z81:Z82">
    <cfRule type="cellIs" dxfId="1408" priority="117" operator="equal">
      <formula>0</formula>
    </cfRule>
    <cfRule type="cellIs" dxfId="1407" priority="118" operator="notEqual">
      <formula>0</formula>
    </cfRule>
  </conditionalFormatting>
  <conditionalFormatting sqref="AA81:AA82">
    <cfRule type="cellIs" dxfId="1406" priority="115" operator="equal">
      <formula>0</formula>
    </cfRule>
    <cfRule type="cellIs" dxfId="1405" priority="116" operator="notEqual">
      <formula>0</formula>
    </cfRule>
  </conditionalFormatting>
  <conditionalFormatting sqref="AB81:AB82">
    <cfRule type="cellIs" dxfId="1404" priority="113" operator="equal">
      <formula>0</formula>
    </cfRule>
    <cfRule type="cellIs" dxfId="1403" priority="114" operator="notEqual">
      <formula>0</formula>
    </cfRule>
  </conditionalFormatting>
  <conditionalFormatting sqref="AG80">
    <cfRule type="cellIs" dxfId="1402" priority="111" operator="equal">
      <formula>0</formula>
    </cfRule>
    <cfRule type="cellIs" dxfId="1401" priority="112" operator="notEqual">
      <formula>0</formula>
    </cfRule>
  </conditionalFormatting>
  <conditionalFormatting sqref="AG83">
    <cfRule type="cellIs" dxfId="1400" priority="109" operator="equal">
      <formula>0</formula>
    </cfRule>
    <cfRule type="cellIs" dxfId="1399" priority="110" operator="notEqual">
      <formula>0</formula>
    </cfRule>
  </conditionalFormatting>
  <conditionalFormatting sqref="AH80">
    <cfRule type="cellIs" dxfId="1398" priority="107" operator="equal">
      <formula>0</formula>
    </cfRule>
    <cfRule type="cellIs" dxfId="1397" priority="108" operator="notEqual">
      <formula>0</formula>
    </cfRule>
  </conditionalFormatting>
  <conditionalFormatting sqref="AH83">
    <cfRule type="cellIs" dxfId="1396" priority="105" operator="equal">
      <formula>0</formula>
    </cfRule>
    <cfRule type="cellIs" dxfId="1395" priority="106" operator="notEqual">
      <formula>0</formula>
    </cfRule>
  </conditionalFormatting>
  <conditionalFormatting sqref="AI80">
    <cfRule type="cellIs" dxfId="1394" priority="103" operator="equal">
      <formula>0</formula>
    </cfRule>
    <cfRule type="cellIs" dxfId="1393" priority="104" operator="notEqual">
      <formula>0</formula>
    </cfRule>
  </conditionalFormatting>
  <conditionalFormatting sqref="AI83">
    <cfRule type="cellIs" dxfId="1392" priority="101" operator="equal">
      <formula>0</formula>
    </cfRule>
    <cfRule type="cellIs" dxfId="1391" priority="102" operator="notEqual">
      <formula>0</formula>
    </cfRule>
  </conditionalFormatting>
  <conditionalFormatting sqref="AJ80">
    <cfRule type="cellIs" dxfId="1390" priority="99" operator="equal">
      <formula>0</formula>
    </cfRule>
    <cfRule type="cellIs" dxfId="1389" priority="100" operator="notEqual">
      <formula>0</formula>
    </cfRule>
  </conditionalFormatting>
  <conditionalFormatting sqref="AJ83">
    <cfRule type="cellIs" dxfId="1388" priority="97" operator="equal">
      <formula>0</formula>
    </cfRule>
    <cfRule type="cellIs" dxfId="1387" priority="98" operator="notEqual">
      <formula>0</formula>
    </cfRule>
  </conditionalFormatting>
  <conditionalFormatting sqref="U88:U89">
    <cfRule type="cellIs" dxfId="1386" priority="95" operator="equal">
      <formula>0</formula>
    </cfRule>
    <cfRule type="cellIs" dxfId="1385" priority="96" operator="notEqual">
      <formula>0</formula>
    </cfRule>
  </conditionalFormatting>
  <conditionalFormatting sqref="V88:V89">
    <cfRule type="cellIs" dxfId="1384" priority="93" operator="equal">
      <formula>0</formula>
    </cfRule>
    <cfRule type="cellIs" dxfId="1383" priority="94" operator="notEqual">
      <formula>0</formula>
    </cfRule>
  </conditionalFormatting>
  <conditionalFormatting sqref="W88:W89">
    <cfRule type="cellIs" dxfId="1382" priority="91" operator="equal">
      <formula>0</formula>
    </cfRule>
    <cfRule type="cellIs" dxfId="1381" priority="92" operator="notEqual">
      <formula>0</formula>
    </cfRule>
  </conditionalFormatting>
  <conditionalFormatting sqref="X88:X89">
    <cfRule type="cellIs" dxfId="1380" priority="89" operator="equal">
      <formula>0</formula>
    </cfRule>
    <cfRule type="cellIs" dxfId="1379" priority="90" operator="notEqual">
      <formula>0</formula>
    </cfRule>
  </conditionalFormatting>
  <conditionalFormatting sqref="Y88:Y89">
    <cfRule type="cellIs" dxfId="1378" priority="87" operator="equal">
      <formula>0</formula>
    </cfRule>
    <cfRule type="cellIs" dxfId="1377" priority="88" operator="notEqual">
      <formula>0</formula>
    </cfRule>
  </conditionalFormatting>
  <conditionalFormatting sqref="Z88:Z89">
    <cfRule type="cellIs" dxfId="1376" priority="85" operator="equal">
      <formula>0</formula>
    </cfRule>
    <cfRule type="cellIs" dxfId="1375" priority="86" operator="notEqual">
      <formula>0</formula>
    </cfRule>
  </conditionalFormatting>
  <conditionalFormatting sqref="AA88:AA89">
    <cfRule type="cellIs" dxfId="1374" priority="83" operator="equal">
      <formula>0</formula>
    </cfRule>
    <cfRule type="cellIs" dxfId="1373" priority="84" operator="notEqual">
      <formula>0</formula>
    </cfRule>
  </conditionalFormatting>
  <conditionalFormatting sqref="AB88:AB89">
    <cfRule type="cellIs" dxfId="1372" priority="81" operator="equal">
      <formula>0</formula>
    </cfRule>
    <cfRule type="cellIs" dxfId="1371" priority="82" operator="notEqual">
      <formula>0</formula>
    </cfRule>
  </conditionalFormatting>
  <conditionalFormatting sqref="AG87">
    <cfRule type="cellIs" dxfId="1370" priority="79" operator="equal">
      <formula>0</formula>
    </cfRule>
    <cfRule type="cellIs" dxfId="1369" priority="80" operator="notEqual">
      <formula>0</formula>
    </cfRule>
  </conditionalFormatting>
  <conditionalFormatting sqref="AG90">
    <cfRule type="cellIs" dxfId="1368" priority="77" operator="equal">
      <formula>0</formula>
    </cfRule>
    <cfRule type="cellIs" dxfId="1367" priority="78" operator="notEqual">
      <formula>0</formula>
    </cfRule>
  </conditionalFormatting>
  <conditionalFormatting sqref="AH87">
    <cfRule type="cellIs" dxfId="1366" priority="75" operator="equal">
      <formula>0</formula>
    </cfRule>
    <cfRule type="cellIs" dxfId="1365" priority="76" operator="notEqual">
      <formula>0</formula>
    </cfRule>
  </conditionalFormatting>
  <conditionalFormatting sqref="AH90">
    <cfRule type="cellIs" dxfId="1364" priority="73" operator="equal">
      <formula>0</formula>
    </cfRule>
    <cfRule type="cellIs" dxfId="1363" priority="74" operator="notEqual">
      <formula>0</formula>
    </cfRule>
  </conditionalFormatting>
  <conditionalFormatting sqref="AI87">
    <cfRule type="cellIs" dxfId="1362" priority="71" operator="equal">
      <formula>0</formula>
    </cfRule>
    <cfRule type="cellIs" dxfId="1361" priority="72" operator="notEqual">
      <formula>0</formula>
    </cfRule>
  </conditionalFormatting>
  <conditionalFormatting sqref="AI90">
    <cfRule type="cellIs" dxfId="1360" priority="69" operator="equal">
      <formula>0</formula>
    </cfRule>
    <cfRule type="cellIs" dxfId="1359" priority="70" operator="notEqual">
      <formula>0</formula>
    </cfRule>
  </conditionalFormatting>
  <conditionalFormatting sqref="AJ87">
    <cfRule type="cellIs" dxfId="1358" priority="67" operator="equal">
      <formula>0</formula>
    </cfRule>
    <cfRule type="cellIs" dxfId="1357" priority="68" operator="notEqual">
      <formula>0</formula>
    </cfRule>
  </conditionalFormatting>
  <conditionalFormatting sqref="AJ90">
    <cfRule type="cellIs" dxfId="1356" priority="65" operator="equal">
      <formula>0</formula>
    </cfRule>
    <cfRule type="cellIs" dxfId="1355" priority="66" operator="notEqual">
      <formula>0</formula>
    </cfRule>
  </conditionalFormatting>
  <conditionalFormatting sqref="U95:U96">
    <cfRule type="cellIs" dxfId="1354" priority="63" operator="equal">
      <formula>0</formula>
    </cfRule>
    <cfRule type="cellIs" dxfId="1353" priority="64" operator="notEqual">
      <formula>0</formula>
    </cfRule>
  </conditionalFormatting>
  <conditionalFormatting sqref="V95:V96">
    <cfRule type="cellIs" dxfId="1352" priority="61" operator="equal">
      <formula>0</formula>
    </cfRule>
    <cfRule type="cellIs" dxfId="1351" priority="62" operator="notEqual">
      <formula>0</formula>
    </cfRule>
  </conditionalFormatting>
  <conditionalFormatting sqref="W95:W96">
    <cfRule type="cellIs" dxfId="1350" priority="59" operator="equal">
      <formula>0</formula>
    </cfRule>
    <cfRule type="cellIs" dxfId="1349" priority="60" operator="notEqual">
      <formula>0</formula>
    </cfRule>
  </conditionalFormatting>
  <conditionalFormatting sqref="X95:X96">
    <cfRule type="cellIs" dxfId="1348" priority="57" operator="equal">
      <formula>0</formula>
    </cfRule>
    <cfRule type="cellIs" dxfId="1347" priority="58" operator="notEqual">
      <formula>0</formula>
    </cfRule>
  </conditionalFormatting>
  <conditionalFormatting sqref="Y95:Y96">
    <cfRule type="cellIs" dxfId="1346" priority="55" operator="equal">
      <formula>0</formula>
    </cfRule>
    <cfRule type="cellIs" dxfId="1345" priority="56" operator="notEqual">
      <formula>0</formula>
    </cfRule>
  </conditionalFormatting>
  <conditionalFormatting sqref="Z95:Z96">
    <cfRule type="cellIs" dxfId="1344" priority="53" operator="equal">
      <formula>0</formula>
    </cfRule>
    <cfRule type="cellIs" dxfId="1343" priority="54" operator="notEqual">
      <formula>0</formula>
    </cfRule>
  </conditionalFormatting>
  <conditionalFormatting sqref="AA95:AA96">
    <cfRule type="cellIs" dxfId="1342" priority="51" operator="equal">
      <formula>0</formula>
    </cfRule>
    <cfRule type="cellIs" dxfId="1341" priority="52" operator="notEqual">
      <formula>0</formula>
    </cfRule>
  </conditionalFormatting>
  <conditionalFormatting sqref="AB95:AB96">
    <cfRule type="cellIs" dxfId="1340" priority="49" operator="equal">
      <formula>0</formula>
    </cfRule>
    <cfRule type="cellIs" dxfId="1339" priority="50" operator="notEqual">
      <formula>0</formula>
    </cfRule>
  </conditionalFormatting>
  <conditionalFormatting sqref="AG94">
    <cfRule type="cellIs" dxfId="1338" priority="47" operator="equal">
      <formula>0</formula>
    </cfRule>
    <cfRule type="cellIs" dxfId="1337" priority="48" operator="notEqual">
      <formula>0</formula>
    </cfRule>
  </conditionalFormatting>
  <conditionalFormatting sqref="AG97">
    <cfRule type="cellIs" dxfId="1336" priority="45" operator="equal">
      <formula>0</formula>
    </cfRule>
    <cfRule type="cellIs" dxfId="1335" priority="46" operator="notEqual">
      <formula>0</formula>
    </cfRule>
  </conditionalFormatting>
  <conditionalFormatting sqref="AH94">
    <cfRule type="cellIs" dxfId="1334" priority="43" operator="equal">
      <formula>0</formula>
    </cfRule>
    <cfRule type="cellIs" dxfId="1333" priority="44" operator="notEqual">
      <formula>0</formula>
    </cfRule>
  </conditionalFormatting>
  <conditionalFormatting sqref="AH97">
    <cfRule type="cellIs" dxfId="1332" priority="41" operator="equal">
      <formula>0</formula>
    </cfRule>
    <cfRule type="cellIs" dxfId="1331" priority="42" operator="notEqual">
      <formula>0</formula>
    </cfRule>
  </conditionalFormatting>
  <conditionalFormatting sqref="AI94">
    <cfRule type="cellIs" dxfId="1330" priority="39" operator="equal">
      <formula>0</formula>
    </cfRule>
    <cfRule type="cellIs" dxfId="1329" priority="40" operator="notEqual">
      <formula>0</formula>
    </cfRule>
  </conditionalFormatting>
  <conditionalFormatting sqref="AI97">
    <cfRule type="cellIs" dxfId="1328" priority="37" operator="equal">
      <formula>0</formula>
    </cfRule>
    <cfRule type="cellIs" dxfId="1327" priority="38" operator="notEqual">
      <formula>0</formula>
    </cfRule>
  </conditionalFormatting>
  <conditionalFormatting sqref="AJ94">
    <cfRule type="cellIs" dxfId="1326" priority="35" operator="equal">
      <formula>0</formula>
    </cfRule>
    <cfRule type="cellIs" dxfId="1325" priority="36" operator="notEqual">
      <formula>0</formula>
    </cfRule>
  </conditionalFormatting>
  <conditionalFormatting sqref="AJ97">
    <cfRule type="cellIs" dxfId="1324" priority="33" operator="equal">
      <formula>0</formula>
    </cfRule>
    <cfRule type="cellIs" dxfId="1323"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defaultColWidth="9.140625" defaultRowHeight="15" x14ac:dyDescent="0.25"/>
  <cols>
    <col min="1" max="1" width="3.140625" customWidth="1"/>
    <col min="2" max="2" width="36.140625" customWidth="1"/>
    <col min="20" max="20" width="33" customWidth="1"/>
  </cols>
  <sheetData>
    <row r="1" spans="1:50" ht="67.5" customHeight="1" x14ac:dyDescent="0.25">
      <c r="A1" s="536" t="s">
        <v>1159</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61"/>
      <c r="AL1" s="261"/>
      <c r="AM1" s="261"/>
      <c r="AN1" s="261"/>
      <c r="AO1" s="261"/>
      <c r="AP1" s="261"/>
      <c r="AQ1" s="261"/>
      <c r="AR1" s="261"/>
      <c r="AS1" s="261"/>
      <c r="AT1" s="261"/>
      <c r="AU1" s="261"/>
      <c r="AV1" s="261"/>
      <c r="AW1" s="261"/>
      <c r="AX1" s="261"/>
    </row>
    <row r="2" spans="1:50" ht="49.5" customHeight="1" x14ac:dyDescent="0.25">
      <c r="A2" s="544"/>
      <c r="B2" s="544"/>
      <c r="C2" s="544"/>
      <c r="D2" s="544"/>
      <c r="E2" s="544"/>
      <c r="F2" s="544"/>
      <c r="G2" s="544"/>
      <c r="H2" s="544"/>
      <c r="I2" s="544"/>
      <c r="J2" s="544"/>
      <c r="K2" s="544"/>
      <c r="L2" s="544"/>
      <c r="M2" s="544"/>
      <c r="N2" s="544"/>
      <c r="O2" s="544"/>
      <c r="P2" s="544"/>
      <c r="Q2" s="544"/>
      <c r="R2" s="544"/>
      <c r="S2" s="544"/>
      <c r="T2" s="544"/>
      <c r="U2" s="544"/>
      <c r="V2" s="544"/>
      <c r="W2" s="544"/>
      <c r="X2" s="544"/>
      <c r="Y2" s="544"/>
      <c r="Z2" s="544"/>
      <c r="AA2" s="544"/>
      <c r="AB2" s="544"/>
      <c r="AC2" s="544"/>
      <c r="AD2" s="544"/>
      <c r="AE2" s="544"/>
      <c r="AF2" s="544"/>
      <c r="AG2" s="544"/>
      <c r="AH2" s="544"/>
      <c r="AI2" s="544"/>
      <c r="AJ2" s="544"/>
      <c r="AK2" s="264"/>
      <c r="AL2" s="264"/>
      <c r="AM2" s="264"/>
      <c r="AN2" s="264"/>
      <c r="AO2" s="264"/>
      <c r="AP2" s="264"/>
      <c r="AQ2" s="264"/>
      <c r="AR2" s="264"/>
      <c r="AS2" s="264"/>
      <c r="AT2" s="264"/>
      <c r="AU2" s="264"/>
      <c r="AV2" s="264"/>
      <c r="AW2" s="264"/>
      <c r="AX2" s="264"/>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25">
      <c r="B4" s="36" t="s">
        <v>957</v>
      </c>
    </row>
    <row r="5" spans="1:50" ht="29.25" customHeight="1" x14ac:dyDescent="0.25">
      <c r="B5" s="242" t="s">
        <v>17</v>
      </c>
      <c r="K5" s="239"/>
      <c r="P5" s="40"/>
      <c r="Q5" s="40"/>
    </row>
    <row r="6" spans="1:50" x14ac:dyDescent="0.25">
      <c r="B6" s="46"/>
    </row>
    <row r="8" spans="1:50" ht="36.75" customHeight="1" x14ac:dyDescent="0.25">
      <c r="B8" s="290" t="str">
        <f>HLOOKUP($B$5,Region_Table,2,0)</f>
        <v>All East Midlands Region</v>
      </c>
      <c r="C8" s="512" t="s">
        <v>1160</v>
      </c>
      <c r="D8" s="513"/>
      <c r="E8" s="513"/>
      <c r="F8" s="513"/>
      <c r="G8" s="513"/>
      <c r="H8" s="513"/>
      <c r="I8" s="513"/>
      <c r="J8" s="513"/>
      <c r="K8" s="513"/>
      <c r="L8" s="513"/>
      <c r="M8" s="542"/>
      <c r="N8" s="542"/>
      <c r="O8" s="543"/>
      <c r="P8" s="515">
        <f>SUM(SUMIFS('caseload data'!V:V,'caseload data'!B:B,{"licence","community"},'caseload data'!C:C,'community caseload'!B8))</f>
        <v>0</v>
      </c>
      <c r="Q8" s="532"/>
      <c r="R8" s="533"/>
      <c r="S8" s="292"/>
      <c r="T8" s="290" t="str">
        <f>HLOOKUP($B$5,Region_Table,3,0)</f>
        <v>Derby City - N53</v>
      </c>
      <c r="U8" s="512" t="s">
        <v>1160</v>
      </c>
      <c r="V8" s="513"/>
      <c r="W8" s="513"/>
      <c r="X8" s="513"/>
      <c r="Y8" s="513"/>
      <c r="Z8" s="513"/>
      <c r="AA8" s="513"/>
      <c r="AB8" s="513"/>
      <c r="AC8" s="513"/>
      <c r="AD8" s="513"/>
      <c r="AE8" s="542"/>
      <c r="AF8" s="542"/>
      <c r="AG8" s="543"/>
      <c r="AH8" s="515">
        <f>SUM(SUMIFS('caseload data'!V:V,'caseload data'!B:B,{"licence","community"},'caseload data'!C:C,'community caseload'!T8))</f>
        <v>0</v>
      </c>
      <c r="AI8" s="532"/>
      <c r="AJ8" s="533"/>
    </row>
    <row r="9" spans="1:50" x14ac:dyDescent="0.25">
      <c r="B9" s="95" t="s">
        <v>1022</v>
      </c>
      <c r="C9" s="38" t="s">
        <v>879</v>
      </c>
      <c r="D9" s="38" t="s">
        <v>880</v>
      </c>
      <c r="E9" s="38" t="s">
        <v>881</v>
      </c>
      <c r="F9" s="38" t="s">
        <v>882</v>
      </c>
      <c r="G9" s="38" t="s">
        <v>883</v>
      </c>
      <c r="H9" s="38" t="s">
        <v>884</v>
      </c>
      <c r="I9" s="38" t="s">
        <v>885</v>
      </c>
      <c r="J9" s="38" t="s">
        <v>886</v>
      </c>
      <c r="K9" s="38" t="s">
        <v>887</v>
      </c>
      <c r="L9" s="38" t="s">
        <v>888</v>
      </c>
      <c r="M9" s="38" t="s">
        <v>889</v>
      </c>
      <c r="N9" s="38" t="s">
        <v>890</v>
      </c>
      <c r="O9" s="38" t="s">
        <v>891</v>
      </c>
      <c r="P9" s="38" t="s">
        <v>892</v>
      </c>
      <c r="Q9" s="38" t="s">
        <v>893</v>
      </c>
      <c r="R9" s="38" t="s">
        <v>894</v>
      </c>
      <c r="S9" s="64"/>
      <c r="T9" s="95" t="s">
        <v>1022</v>
      </c>
      <c r="U9" s="38" t="s">
        <v>879</v>
      </c>
      <c r="V9" s="38" t="s">
        <v>880</v>
      </c>
      <c r="W9" s="38" t="s">
        <v>881</v>
      </c>
      <c r="X9" s="38" t="s">
        <v>882</v>
      </c>
      <c r="Y9" s="38" t="s">
        <v>883</v>
      </c>
      <c r="Z9" s="38" t="s">
        <v>884</v>
      </c>
      <c r="AA9" s="38" t="s">
        <v>885</v>
      </c>
      <c r="AB9" s="38" t="s">
        <v>886</v>
      </c>
      <c r="AC9" s="38" t="s">
        <v>887</v>
      </c>
      <c r="AD9" s="38" t="s">
        <v>888</v>
      </c>
      <c r="AE9" s="38" t="s">
        <v>889</v>
      </c>
      <c r="AF9" s="38" t="s">
        <v>890</v>
      </c>
      <c r="AG9" s="38" t="s">
        <v>891</v>
      </c>
      <c r="AH9" s="38" t="s">
        <v>892</v>
      </c>
      <c r="AI9" s="38" t="s">
        <v>893</v>
      </c>
      <c r="AJ9" s="38" t="s">
        <v>894</v>
      </c>
    </row>
    <row r="10" spans="1:50" x14ac:dyDescent="0.25">
      <c r="B10" s="96" t="s">
        <v>1019</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1019</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25">
      <c r="B11" s="97" t="s">
        <v>1024</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1024</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25">
      <c r="B12" s="97" t="s">
        <v>1025</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1025</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25">
      <c r="B13" s="98" t="s">
        <v>1026</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1026</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25">
      <c r="B15" s="290" t="str">
        <f>HLOOKUP($B$5,Region_Table,4,0)</f>
        <v>Derbyshire - N53</v>
      </c>
      <c r="C15" s="512" t="s">
        <v>1160</v>
      </c>
      <c r="D15" s="513"/>
      <c r="E15" s="513"/>
      <c r="F15" s="513"/>
      <c r="G15" s="513"/>
      <c r="H15" s="513"/>
      <c r="I15" s="513"/>
      <c r="J15" s="513"/>
      <c r="K15" s="513"/>
      <c r="L15" s="513"/>
      <c r="M15" s="542"/>
      <c r="N15" s="542"/>
      <c r="O15" s="543"/>
      <c r="P15" s="515" cm="1">
        <f t="array" ref="P15">SUM(SUMIFS('caseload data'!V:V,'caseload data'!B:B,{"licence","community"},'caseload data'!$C:$C,'community caseload'!B15))</f>
        <v>0</v>
      </c>
      <c r="Q15" s="532"/>
      <c r="R15" s="533"/>
      <c r="S15" s="292"/>
      <c r="T15" s="290" t="str">
        <f>HLOOKUP($B$5,Region_Table,5,0)</f>
        <v>Leicester, Leicestershire and Rutland</v>
      </c>
      <c r="U15" s="512" t="s">
        <v>1160</v>
      </c>
      <c r="V15" s="513"/>
      <c r="W15" s="513"/>
      <c r="X15" s="513"/>
      <c r="Y15" s="513"/>
      <c r="Z15" s="513"/>
      <c r="AA15" s="513"/>
      <c r="AB15" s="513"/>
      <c r="AC15" s="513"/>
      <c r="AD15" s="513"/>
      <c r="AE15" s="542"/>
      <c r="AF15" s="542"/>
      <c r="AG15" s="543"/>
      <c r="AH15" s="515" cm="1">
        <f t="array" ref="AH15">SUM(SUMIFS('caseload data'!V:V,'caseload data'!B:B,{"licence","community"},'caseload data'!$C:$C,'community caseload'!T15))</f>
        <v>0</v>
      </c>
      <c r="AI15" s="532"/>
      <c r="AJ15" s="533"/>
    </row>
    <row r="16" spans="1:50" x14ac:dyDescent="0.25">
      <c r="B16" s="95" t="s">
        <v>1022</v>
      </c>
      <c r="C16" s="38" t="s">
        <v>879</v>
      </c>
      <c r="D16" s="38" t="s">
        <v>880</v>
      </c>
      <c r="E16" s="38" t="s">
        <v>881</v>
      </c>
      <c r="F16" s="38" t="s">
        <v>882</v>
      </c>
      <c r="G16" s="38" t="s">
        <v>883</v>
      </c>
      <c r="H16" s="38" t="s">
        <v>884</v>
      </c>
      <c r="I16" s="38" t="s">
        <v>885</v>
      </c>
      <c r="J16" s="38" t="s">
        <v>886</v>
      </c>
      <c r="K16" s="38" t="s">
        <v>887</v>
      </c>
      <c r="L16" s="38" t="s">
        <v>888</v>
      </c>
      <c r="M16" s="38" t="s">
        <v>889</v>
      </c>
      <c r="N16" s="38" t="s">
        <v>890</v>
      </c>
      <c r="O16" s="38" t="s">
        <v>891</v>
      </c>
      <c r="P16" s="38" t="s">
        <v>892</v>
      </c>
      <c r="Q16" s="38" t="s">
        <v>893</v>
      </c>
      <c r="R16" s="38" t="s">
        <v>894</v>
      </c>
      <c r="S16" s="64"/>
      <c r="T16" s="95" t="s">
        <v>1022</v>
      </c>
      <c r="U16" s="38" t="s">
        <v>879</v>
      </c>
      <c r="V16" s="38" t="s">
        <v>880</v>
      </c>
      <c r="W16" s="38" t="s">
        <v>881</v>
      </c>
      <c r="X16" s="38" t="s">
        <v>882</v>
      </c>
      <c r="Y16" s="38" t="s">
        <v>883</v>
      </c>
      <c r="Z16" s="38" t="s">
        <v>884</v>
      </c>
      <c r="AA16" s="38" t="s">
        <v>885</v>
      </c>
      <c r="AB16" s="38" t="s">
        <v>886</v>
      </c>
      <c r="AC16" s="38" t="s">
        <v>887</v>
      </c>
      <c r="AD16" s="38" t="s">
        <v>888</v>
      </c>
      <c r="AE16" s="38" t="s">
        <v>889</v>
      </c>
      <c r="AF16" s="38" t="s">
        <v>890</v>
      </c>
      <c r="AG16" s="38" t="s">
        <v>891</v>
      </c>
      <c r="AH16" s="38" t="s">
        <v>892</v>
      </c>
      <c r="AI16" s="38" t="s">
        <v>893</v>
      </c>
      <c r="AJ16" s="38" t="s">
        <v>894</v>
      </c>
    </row>
    <row r="17" spans="2:36" x14ac:dyDescent="0.25">
      <c r="B17" s="96" t="s">
        <v>1019</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1019</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25">
      <c r="B18" s="97" t="s">
        <v>1024</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1024</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25">
      <c r="B19" s="97" t="s">
        <v>1025</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1025</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25">
      <c r="B20" s="98" t="s">
        <v>1026</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1026</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25">
      <c r="B22" s="290" t="str">
        <f>HLOOKUP($B$5,Region_Table,6,0)</f>
        <v>Lincolnshire East and West - N53</v>
      </c>
      <c r="C22" s="512" t="s">
        <v>1160</v>
      </c>
      <c r="D22" s="513"/>
      <c r="E22" s="513"/>
      <c r="F22" s="513"/>
      <c r="G22" s="513"/>
      <c r="H22" s="513"/>
      <c r="I22" s="513"/>
      <c r="J22" s="513"/>
      <c r="K22" s="513"/>
      <c r="L22" s="513"/>
      <c r="M22" s="542"/>
      <c r="N22" s="542"/>
      <c r="O22" s="543"/>
      <c r="P22" s="515" cm="1">
        <f t="array" ref="P22">SUM(SUMIFS('caseload data'!V:V,'caseload data'!B:B,{"licence","community"},'caseload data'!$C:$C,'community caseload'!B22))</f>
        <v>0</v>
      </c>
      <c r="Q22" s="532"/>
      <c r="R22" s="533"/>
      <c r="S22" s="292"/>
      <c r="T22" s="290" t="str">
        <f>HLOOKUP($B$5,Region_Table,7,0)</f>
        <v>Nottingham City</v>
      </c>
      <c r="U22" s="512" t="s">
        <v>1160</v>
      </c>
      <c r="V22" s="513"/>
      <c r="W22" s="513"/>
      <c r="X22" s="513"/>
      <c r="Y22" s="513"/>
      <c r="Z22" s="513"/>
      <c r="AA22" s="513"/>
      <c r="AB22" s="513"/>
      <c r="AC22" s="513"/>
      <c r="AD22" s="513"/>
      <c r="AE22" s="542"/>
      <c r="AF22" s="542"/>
      <c r="AG22" s="543"/>
      <c r="AH22" s="515" cm="1">
        <f t="array" ref="AH22">SUM(SUMIFS('caseload data'!V:V,'caseload data'!B:B,{"licence","community"},'caseload data'!$C:$C,'community caseload'!T22))</f>
        <v>0</v>
      </c>
      <c r="AI22" s="532"/>
      <c r="AJ22" s="533"/>
    </row>
    <row r="23" spans="2:36" x14ac:dyDescent="0.25">
      <c r="B23" s="95" t="s">
        <v>1022</v>
      </c>
      <c r="C23" s="38" t="s">
        <v>879</v>
      </c>
      <c r="D23" s="38" t="s">
        <v>880</v>
      </c>
      <c r="E23" s="38" t="s">
        <v>881</v>
      </c>
      <c r="F23" s="38" t="s">
        <v>882</v>
      </c>
      <c r="G23" s="38" t="s">
        <v>883</v>
      </c>
      <c r="H23" s="38" t="s">
        <v>884</v>
      </c>
      <c r="I23" s="38" t="s">
        <v>885</v>
      </c>
      <c r="J23" s="38" t="s">
        <v>886</v>
      </c>
      <c r="K23" s="38" t="s">
        <v>887</v>
      </c>
      <c r="L23" s="38" t="s">
        <v>888</v>
      </c>
      <c r="M23" s="38" t="s">
        <v>889</v>
      </c>
      <c r="N23" s="38" t="s">
        <v>890</v>
      </c>
      <c r="O23" s="38" t="s">
        <v>891</v>
      </c>
      <c r="P23" s="38" t="s">
        <v>892</v>
      </c>
      <c r="Q23" s="38" t="s">
        <v>893</v>
      </c>
      <c r="R23" s="38" t="s">
        <v>894</v>
      </c>
      <c r="S23" s="64"/>
      <c r="T23" s="95" t="s">
        <v>1022</v>
      </c>
      <c r="U23" s="38" t="s">
        <v>879</v>
      </c>
      <c r="V23" s="38" t="s">
        <v>880</v>
      </c>
      <c r="W23" s="38" t="s">
        <v>881</v>
      </c>
      <c r="X23" s="38" t="s">
        <v>882</v>
      </c>
      <c r="Y23" s="38" t="s">
        <v>883</v>
      </c>
      <c r="Z23" s="38" t="s">
        <v>884</v>
      </c>
      <c r="AA23" s="38" t="s">
        <v>885</v>
      </c>
      <c r="AB23" s="38" t="s">
        <v>886</v>
      </c>
      <c r="AC23" s="38" t="s">
        <v>887</v>
      </c>
      <c r="AD23" s="38" t="s">
        <v>888</v>
      </c>
      <c r="AE23" s="38" t="s">
        <v>889</v>
      </c>
      <c r="AF23" s="38" t="s">
        <v>890</v>
      </c>
      <c r="AG23" s="38" t="s">
        <v>891</v>
      </c>
      <c r="AH23" s="38" t="s">
        <v>892</v>
      </c>
      <c r="AI23" s="38" t="s">
        <v>893</v>
      </c>
      <c r="AJ23" s="38" t="s">
        <v>894</v>
      </c>
    </row>
    <row r="24" spans="2:36" x14ac:dyDescent="0.25">
      <c r="B24" s="96" t="s">
        <v>1019</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1019</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25">
      <c r="B25" s="97" t="s">
        <v>1024</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1024</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25">
      <c r="B26" s="97" t="s">
        <v>1025</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1025</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25">
      <c r="B27" s="98" t="s">
        <v>1026</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1026</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25">
      <c r="B29" s="290" t="str">
        <f>HLOOKUP($B$5,Region_Table,8,0)</f>
        <v>Nottinghamshire - N53</v>
      </c>
      <c r="C29" s="512" t="s">
        <v>1160</v>
      </c>
      <c r="D29" s="513"/>
      <c r="E29" s="513"/>
      <c r="F29" s="513"/>
      <c r="G29" s="513"/>
      <c r="H29" s="513"/>
      <c r="I29" s="513"/>
      <c r="J29" s="513"/>
      <c r="K29" s="513"/>
      <c r="L29" s="513"/>
      <c r="M29" s="542"/>
      <c r="N29" s="542"/>
      <c r="O29" s="543"/>
      <c r="P29" s="515" cm="1">
        <f t="array" ref="P29">SUM(SUMIFS('caseload data'!V:V,'caseload data'!B:B,{"licence","community"},'caseload data'!$C:$C,'community caseload'!B29))</f>
        <v>0</v>
      </c>
      <c r="Q29" s="532"/>
      <c r="R29" s="533"/>
      <c r="S29" s="292"/>
      <c r="T29" s="290" t="str">
        <f>HLOOKUP($B$5,Region_Table,9,0)</f>
        <v>Unpaid Work and Attendance Centres - N53</v>
      </c>
      <c r="U29" s="512" t="s">
        <v>1160</v>
      </c>
      <c r="V29" s="513"/>
      <c r="W29" s="513"/>
      <c r="X29" s="513"/>
      <c r="Y29" s="513"/>
      <c r="Z29" s="513"/>
      <c r="AA29" s="513"/>
      <c r="AB29" s="513"/>
      <c r="AC29" s="513"/>
      <c r="AD29" s="513"/>
      <c r="AE29" s="542"/>
      <c r="AF29" s="542"/>
      <c r="AG29" s="543"/>
      <c r="AH29" s="515" cm="1">
        <f t="array" ref="AH29">SUM(SUMIFS('caseload data'!V:V,'caseload data'!B:B,{"licence","community"},'caseload data'!$C:$C,'community caseload'!T29))</f>
        <v>0</v>
      </c>
      <c r="AI29" s="532"/>
      <c r="AJ29" s="533"/>
    </row>
    <row r="30" spans="2:36" x14ac:dyDescent="0.25">
      <c r="B30" s="95" t="s">
        <v>1022</v>
      </c>
      <c r="C30" s="38" t="s">
        <v>879</v>
      </c>
      <c r="D30" s="38" t="s">
        <v>880</v>
      </c>
      <c r="E30" s="38" t="s">
        <v>881</v>
      </c>
      <c r="F30" s="38" t="s">
        <v>882</v>
      </c>
      <c r="G30" s="38" t="s">
        <v>883</v>
      </c>
      <c r="H30" s="38" t="s">
        <v>884</v>
      </c>
      <c r="I30" s="38" t="s">
        <v>885</v>
      </c>
      <c r="J30" s="38" t="s">
        <v>886</v>
      </c>
      <c r="K30" s="38" t="s">
        <v>887</v>
      </c>
      <c r="L30" s="38" t="s">
        <v>888</v>
      </c>
      <c r="M30" s="38" t="s">
        <v>889</v>
      </c>
      <c r="N30" s="38" t="s">
        <v>890</v>
      </c>
      <c r="O30" s="38" t="s">
        <v>891</v>
      </c>
      <c r="P30" s="38" t="s">
        <v>892</v>
      </c>
      <c r="Q30" s="38" t="s">
        <v>893</v>
      </c>
      <c r="R30" s="38" t="s">
        <v>894</v>
      </c>
      <c r="S30" s="64"/>
      <c r="T30" s="95" t="s">
        <v>1022</v>
      </c>
      <c r="U30" s="38" t="s">
        <v>879</v>
      </c>
      <c r="V30" s="38" t="s">
        <v>880</v>
      </c>
      <c r="W30" s="38" t="s">
        <v>881</v>
      </c>
      <c r="X30" s="38" t="s">
        <v>882</v>
      </c>
      <c r="Y30" s="38" t="s">
        <v>883</v>
      </c>
      <c r="Z30" s="38" t="s">
        <v>884</v>
      </c>
      <c r="AA30" s="38" t="s">
        <v>885</v>
      </c>
      <c r="AB30" s="38" t="s">
        <v>886</v>
      </c>
      <c r="AC30" s="38" t="s">
        <v>887</v>
      </c>
      <c r="AD30" s="38" t="s">
        <v>888</v>
      </c>
      <c r="AE30" s="38" t="s">
        <v>889</v>
      </c>
      <c r="AF30" s="38" t="s">
        <v>890</v>
      </c>
      <c r="AG30" s="38" t="s">
        <v>891</v>
      </c>
      <c r="AH30" s="38" t="s">
        <v>892</v>
      </c>
      <c r="AI30" s="38" t="s">
        <v>893</v>
      </c>
      <c r="AJ30" s="38" t="s">
        <v>894</v>
      </c>
    </row>
    <row r="31" spans="2:36" x14ac:dyDescent="0.25">
      <c r="B31" s="96" t="s">
        <v>1019</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1019</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25">
      <c r="B32" s="97" t="s">
        <v>1024</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1024</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25">
      <c r="B33" s="97" t="s">
        <v>1025</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1025</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25">
      <c r="B34" s="98" t="s">
        <v>1026</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1026</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25">
      <c r="B36" s="290">
        <f>HLOOKUP($B$5,Region_Table,10,0)</f>
        <v>0</v>
      </c>
      <c r="C36" s="512" t="s">
        <v>1161</v>
      </c>
      <c r="D36" s="513"/>
      <c r="E36" s="513"/>
      <c r="F36" s="513"/>
      <c r="G36" s="513"/>
      <c r="H36" s="513"/>
      <c r="I36" s="513"/>
      <c r="J36" s="513"/>
      <c r="K36" s="513"/>
      <c r="L36" s="513"/>
      <c r="M36" s="542"/>
      <c r="N36" s="542"/>
      <c r="O36" s="543"/>
      <c r="P36" s="515" cm="1">
        <f t="array" ref="P36">SUM(SUMIFS('caseload data'!V:V,'caseload data'!B:B,{"licence","community"},'caseload data'!$C:$C,'community caseload'!B36))</f>
        <v>0</v>
      </c>
      <c r="Q36" s="532"/>
      <c r="R36" s="533"/>
      <c r="S36" s="292"/>
      <c r="T36" s="290">
        <f>HLOOKUP($B$5,Region_Table,11,0)</f>
        <v>0</v>
      </c>
      <c r="U36" s="512" t="s">
        <v>1160</v>
      </c>
      <c r="V36" s="513"/>
      <c r="W36" s="513"/>
      <c r="X36" s="513"/>
      <c r="Y36" s="513"/>
      <c r="Z36" s="513"/>
      <c r="AA36" s="513"/>
      <c r="AB36" s="513"/>
      <c r="AC36" s="513"/>
      <c r="AD36" s="513"/>
      <c r="AE36" s="542"/>
      <c r="AF36" s="542"/>
      <c r="AG36" s="543"/>
      <c r="AH36" s="515" cm="1">
        <f t="array" ref="AH36">SUM(SUMIFS('caseload data'!V:V,'caseload data'!B:B,{"licence","community"},'caseload data'!$C:$C,'community caseload'!T36))</f>
        <v>0</v>
      </c>
      <c r="AI36" s="532"/>
      <c r="AJ36" s="533"/>
    </row>
    <row r="37" spans="2:36" x14ac:dyDescent="0.25">
      <c r="B37" s="95" t="s">
        <v>1022</v>
      </c>
      <c r="C37" s="38" t="s">
        <v>879</v>
      </c>
      <c r="D37" s="38" t="s">
        <v>880</v>
      </c>
      <c r="E37" s="38" t="s">
        <v>881</v>
      </c>
      <c r="F37" s="38" t="s">
        <v>882</v>
      </c>
      <c r="G37" s="38" t="s">
        <v>883</v>
      </c>
      <c r="H37" s="38" t="s">
        <v>884</v>
      </c>
      <c r="I37" s="38" t="s">
        <v>885</v>
      </c>
      <c r="J37" s="38" t="s">
        <v>886</v>
      </c>
      <c r="K37" s="38" t="s">
        <v>887</v>
      </c>
      <c r="L37" s="38" t="s">
        <v>888</v>
      </c>
      <c r="M37" s="38" t="s">
        <v>889</v>
      </c>
      <c r="N37" s="38" t="s">
        <v>890</v>
      </c>
      <c r="O37" s="38" t="s">
        <v>891</v>
      </c>
      <c r="P37" s="38" t="s">
        <v>892</v>
      </c>
      <c r="Q37" s="38" t="s">
        <v>893</v>
      </c>
      <c r="R37" s="38" t="s">
        <v>894</v>
      </c>
      <c r="S37" s="64"/>
      <c r="T37" s="95" t="s">
        <v>1022</v>
      </c>
      <c r="U37" s="38" t="s">
        <v>879</v>
      </c>
      <c r="V37" s="38" t="s">
        <v>880</v>
      </c>
      <c r="W37" s="38" t="s">
        <v>881</v>
      </c>
      <c r="X37" s="38" t="s">
        <v>882</v>
      </c>
      <c r="Y37" s="38" t="s">
        <v>883</v>
      </c>
      <c r="Z37" s="38" t="s">
        <v>884</v>
      </c>
      <c r="AA37" s="38" t="s">
        <v>885</v>
      </c>
      <c r="AB37" s="38" t="s">
        <v>886</v>
      </c>
      <c r="AC37" s="38" t="s">
        <v>887</v>
      </c>
      <c r="AD37" s="38" t="s">
        <v>888</v>
      </c>
      <c r="AE37" s="38" t="s">
        <v>889</v>
      </c>
      <c r="AF37" s="38" t="s">
        <v>890</v>
      </c>
      <c r="AG37" s="38" t="s">
        <v>891</v>
      </c>
      <c r="AH37" s="38" t="s">
        <v>892</v>
      </c>
      <c r="AI37" s="38" t="s">
        <v>893</v>
      </c>
      <c r="AJ37" s="38" t="s">
        <v>894</v>
      </c>
    </row>
    <row r="38" spans="2:36" x14ac:dyDescent="0.25">
      <c r="B38" s="96" t="s">
        <v>1019</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1019</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25">
      <c r="B39" s="97" t="s">
        <v>1024</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1024</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25">
      <c r="B40" s="97" t="s">
        <v>1025</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1025</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25">
      <c r="B41" s="98" t="s">
        <v>1026</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1026</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25">
      <c r="B43" s="290">
        <f>HLOOKUP($B$5,Region_Table,12,0)</f>
        <v>0</v>
      </c>
      <c r="C43" s="512" t="s">
        <v>1160</v>
      </c>
      <c r="D43" s="513"/>
      <c r="E43" s="513"/>
      <c r="F43" s="513"/>
      <c r="G43" s="513"/>
      <c r="H43" s="513"/>
      <c r="I43" s="513"/>
      <c r="J43" s="513"/>
      <c r="K43" s="513"/>
      <c r="L43" s="513"/>
      <c r="M43" s="542"/>
      <c r="N43" s="542"/>
      <c r="O43" s="543"/>
      <c r="P43" s="515" cm="1">
        <f t="array" ref="P43">SUM(SUMIFS('caseload data'!V:V,'caseload data'!B:B,{"licence","community"},'caseload data'!$C:$C,'community caseload'!B43))</f>
        <v>0</v>
      </c>
      <c r="Q43" s="532"/>
      <c r="R43" s="533"/>
      <c r="S43" s="292"/>
      <c r="T43" s="290">
        <f>HLOOKUP($B$5,Region_Table,13,0)</f>
        <v>0</v>
      </c>
      <c r="U43" s="512" t="s">
        <v>1160</v>
      </c>
      <c r="V43" s="513"/>
      <c r="W43" s="513"/>
      <c r="X43" s="513"/>
      <c r="Y43" s="513"/>
      <c r="Z43" s="513"/>
      <c r="AA43" s="513"/>
      <c r="AB43" s="513"/>
      <c r="AC43" s="513"/>
      <c r="AD43" s="513"/>
      <c r="AE43" s="542"/>
      <c r="AF43" s="542"/>
      <c r="AG43" s="543"/>
      <c r="AH43" s="515" cm="1">
        <f t="array" ref="AH43">SUM(SUMIFS('caseload data'!V:V,'caseload data'!B:B,{"licence","community"},'caseload data'!$C:$C,'community caseload'!T43))</f>
        <v>0</v>
      </c>
      <c r="AI43" s="532"/>
      <c r="AJ43" s="533"/>
    </row>
    <row r="44" spans="2:36" x14ac:dyDescent="0.25">
      <c r="B44" s="95" t="s">
        <v>1022</v>
      </c>
      <c r="C44" s="38" t="s">
        <v>879</v>
      </c>
      <c r="D44" s="38" t="s">
        <v>880</v>
      </c>
      <c r="E44" s="38" t="s">
        <v>881</v>
      </c>
      <c r="F44" s="38" t="s">
        <v>882</v>
      </c>
      <c r="G44" s="38" t="s">
        <v>883</v>
      </c>
      <c r="H44" s="38" t="s">
        <v>884</v>
      </c>
      <c r="I44" s="38" t="s">
        <v>885</v>
      </c>
      <c r="J44" s="38" t="s">
        <v>886</v>
      </c>
      <c r="K44" s="38" t="s">
        <v>887</v>
      </c>
      <c r="L44" s="38" t="s">
        <v>888</v>
      </c>
      <c r="M44" s="38" t="s">
        <v>889</v>
      </c>
      <c r="N44" s="38" t="s">
        <v>890</v>
      </c>
      <c r="O44" s="38" t="s">
        <v>891</v>
      </c>
      <c r="P44" s="38" t="s">
        <v>892</v>
      </c>
      <c r="Q44" s="38" t="s">
        <v>893</v>
      </c>
      <c r="R44" s="38" t="s">
        <v>894</v>
      </c>
      <c r="S44" s="64"/>
      <c r="T44" s="95" t="s">
        <v>1022</v>
      </c>
      <c r="U44" s="38" t="s">
        <v>879</v>
      </c>
      <c r="V44" s="38" t="s">
        <v>880</v>
      </c>
      <c r="W44" s="38" t="s">
        <v>881</v>
      </c>
      <c r="X44" s="38" t="s">
        <v>882</v>
      </c>
      <c r="Y44" s="38" t="s">
        <v>883</v>
      </c>
      <c r="Z44" s="38" t="s">
        <v>884</v>
      </c>
      <c r="AA44" s="38" t="s">
        <v>885</v>
      </c>
      <c r="AB44" s="38" t="s">
        <v>886</v>
      </c>
      <c r="AC44" s="38" t="s">
        <v>887</v>
      </c>
      <c r="AD44" s="38" t="s">
        <v>888</v>
      </c>
      <c r="AE44" s="38" t="s">
        <v>889</v>
      </c>
      <c r="AF44" s="38" t="s">
        <v>890</v>
      </c>
      <c r="AG44" s="38" t="s">
        <v>891</v>
      </c>
      <c r="AH44" s="38" t="s">
        <v>892</v>
      </c>
      <c r="AI44" s="38" t="s">
        <v>893</v>
      </c>
      <c r="AJ44" s="38" t="s">
        <v>894</v>
      </c>
    </row>
    <row r="45" spans="2:36" x14ac:dyDescent="0.25">
      <c r="B45" s="96" t="s">
        <v>1019</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1019</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25">
      <c r="B46" s="97" t="s">
        <v>1024</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1024</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25">
      <c r="B47" s="97" t="s">
        <v>1025</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1025</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25">
      <c r="B48" s="98" t="s">
        <v>1026</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1026</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25">
      <c r="B50" s="290">
        <f>HLOOKUP($B$5,Region_Table,14,0)</f>
        <v>0</v>
      </c>
      <c r="C50" s="512" t="s">
        <v>1160</v>
      </c>
      <c r="D50" s="513"/>
      <c r="E50" s="513"/>
      <c r="F50" s="513"/>
      <c r="G50" s="513"/>
      <c r="H50" s="513"/>
      <c r="I50" s="513"/>
      <c r="J50" s="513"/>
      <c r="K50" s="513"/>
      <c r="L50" s="513"/>
      <c r="M50" s="542"/>
      <c r="N50" s="542"/>
      <c r="O50" s="543"/>
      <c r="P50" s="515" cm="1">
        <f t="array" ref="P50">SUM(SUMIFS('caseload data'!V:V,'caseload data'!B:B,{"licence","community"},'caseload data'!$C:$C,'community caseload'!B50))</f>
        <v>0</v>
      </c>
      <c r="Q50" s="532"/>
      <c r="R50" s="533"/>
      <c r="S50" s="292"/>
      <c r="T50" s="290">
        <f>HLOOKUP($B$5,Region_Table,15,0)</f>
        <v>0</v>
      </c>
      <c r="U50" s="512" t="s">
        <v>1160</v>
      </c>
      <c r="V50" s="513"/>
      <c r="W50" s="513"/>
      <c r="X50" s="513"/>
      <c r="Y50" s="513"/>
      <c r="Z50" s="513"/>
      <c r="AA50" s="513"/>
      <c r="AB50" s="513"/>
      <c r="AC50" s="513"/>
      <c r="AD50" s="513"/>
      <c r="AE50" s="542"/>
      <c r="AF50" s="542"/>
      <c r="AG50" s="543"/>
      <c r="AH50" s="515" cm="1">
        <f t="array" ref="AH50">SUM(SUMIFS('caseload data'!V:V,'caseload data'!B:B,{"licence","community"},'caseload data'!$C:$C,'community caseload'!T50))</f>
        <v>0</v>
      </c>
      <c r="AI50" s="532"/>
      <c r="AJ50" s="533"/>
    </row>
    <row r="51" spans="2:36" x14ac:dyDescent="0.25">
      <c r="B51" s="95" t="s">
        <v>1022</v>
      </c>
      <c r="C51" s="38" t="s">
        <v>879</v>
      </c>
      <c r="D51" s="38" t="s">
        <v>880</v>
      </c>
      <c r="E51" s="38" t="s">
        <v>881</v>
      </c>
      <c r="F51" s="38" t="s">
        <v>882</v>
      </c>
      <c r="G51" s="38" t="s">
        <v>883</v>
      </c>
      <c r="H51" s="38" t="s">
        <v>884</v>
      </c>
      <c r="I51" s="38" t="s">
        <v>885</v>
      </c>
      <c r="J51" s="38" t="s">
        <v>886</v>
      </c>
      <c r="K51" s="38" t="s">
        <v>887</v>
      </c>
      <c r="L51" s="38" t="s">
        <v>888</v>
      </c>
      <c r="M51" s="38" t="s">
        <v>889</v>
      </c>
      <c r="N51" s="38" t="s">
        <v>890</v>
      </c>
      <c r="O51" s="38" t="s">
        <v>891</v>
      </c>
      <c r="P51" s="38" t="s">
        <v>892</v>
      </c>
      <c r="Q51" s="38" t="s">
        <v>893</v>
      </c>
      <c r="R51" s="38" t="s">
        <v>894</v>
      </c>
      <c r="S51" s="64"/>
      <c r="T51" s="95" t="s">
        <v>1022</v>
      </c>
      <c r="U51" s="38" t="s">
        <v>879</v>
      </c>
      <c r="V51" s="38" t="s">
        <v>880</v>
      </c>
      <c r="W51" s="38" t="s">
        <v>881</v>
      </c>
      <c r="X51" s="38" t="s">
        <v>882</v>
      </c>
      <c r="Y51" s="38" t="s">
        <v>883</v>
      </c>
      <c r="Z51" s="38" t="s">
        <v>884</v>
      </c>
      <c r="AA51" s="38" t="s">
        <v>885</v>
      </c>
      <c r="AB51" s="38" t="s">
        <v>886</v>
      </c>
      <c r="AC51" s="38" t="s">
        <v>887</v>
      </c>
      <c r="AD51" s="38" t="s">
        <v>888</v>
      </c>
      <c r="AE51" s="38" t="s">
        <v>889</v>
      </c>
      <c r="AF51" s="38" t="s">
        <v>890</v>
      </c>
      <c r="AG51" s="38" t="s">
        <v>891</v>
      </c>
      <c r="AH51" s="38" t="s">
        <v>892</v>
      </c>
      <c r="AI51" s="38" t="s">
        <v>893</v>
      </c>
      <c r="AJ51" s="38" t="s">
        <v>894</v>
      </c>
    </row>
    <row r="52" spans="2:36" x14ac:dyDescent="0.25">
      <c r="B52" s="96" t="s">
        <v>1019</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1019</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25">
      <c r="B53" s="97" t="s">
        <v>1024</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1024</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25">
      <c r="B54" s="97" t="s">
        <v>1025</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1025</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25">
      <c r="B55" s="98" t="s">
        <v>1026</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1026</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25">
      <c r="B57" s="290">
        <f>HLOOKUP($B$5,Region_Table,16,0)</f>
        <v>0</v>
      </c>
      <c r="C57" s="512" t="s">
        <v>1160</v>
      </c>
      <c r="D57" s="513"/>
      <c r="E57" s="513"/>
      <c r="F57" s="513"/>
      <c r="G57" s="513"/>
      <c r="H57" s="513"/>
      <c r="I57" s="513"/>
      <c r="J57" s="513"/>
      <c r="K57" s="513"/>
      <c r="L57" s="513"/>
      <c r="M57" s="542"/>
      <c r="N57" s="542"/>
      <c r="O57" s="543"/>
      <c r="P57" s="515" cm="1">
        <f t="array" ref="P57">SUM(SUMIFS('caseload data'!V:V,'caseload data'!B:B,{"licence","community"},'caseload data'!$C:$C,'community caseload'!B57))</f>
        <v>0</v>
      </c>
      <c r="Q57" s="532"/>
      <c r="R57" s="533"/>
      <c r="S57" s="292"/>
      <c r="T57" s="290">
        <f>HLOOKUP($B$5,Region_Table,17,0)</f>
        <v>0</v>
      </c>
      <c r="U57" s="512" t="s">
        <v>1160</v>
      </c>
      <c r="V57" s="513"/>
      <c r="W57" s="513"/>
      <c r="X57" s="513"/>
      <c r="Y57" s="513"/>
      <c r="Z57" s="513"/>
      <c r="AA57" s="513"/>
      <c r="AB57" s="513"/>
      <c r="AC57" s="513"/>
      <c r="AD57" s="513"/>
      <c r="AE57" s="542"/>
      <c r="AF57" s="542"/>
      <c r="AG57" s="543"/>
      <c r="AH57" s="515" cm="1">
        <f t="array" ref="AH57">SUM(SUMIFS('caseload data'!V:V,'caseload data'!B:B,{"licence","community"},'caseload data'!$C:$C,'community caseload'!T57))</f>
        <v>0</v>
      </c>
      <c r="AI57" s="532"/>
      <c r="AJ57" s="533"/>
    </row>
    <row r="58" spans="2:36" x14ac:dyDescent="0.25">
      <c r="B58" s="95" t="s">
        <v>1022</v>
      </c>
      <c r="C58" s="38" t="s">
        <v>879</v>
      </c>
      <c r="D58" s="38" t="s">
        <v>880</v>
      </c>
      <c r="E58" s="38" t="s">
        <v>881</v>
      </c>
      <c r="F58" s="38" t="s">
        <v>882</v>
      </c>
      <c r="G58" s="38" t="s">
        <v>883</v>
      </c>
      <c r="H58" s="38" t="s">
        <v>884</v>
      </c>
      <c r="I58" s="38" t="s">
        <v>885</v>
      </c>
      <c r="J58" s="38" t="s">
        <v>886</v>
      </c>
      <c r="K58" s="38" t="s">
        <v>887</v>
      </c>
      <c r="L58" s="38" t="s">
        <v>888</v>
      </c>
      <c r="M58" s="38" t="s">
        <v>889</v>
      </c>
      <c r="N58" s="38" t="s">
        <v>890</v>
      </c>
      <c r="O58" s="38" t="s">
        <v>891</v>
      </c>
      <c r="P58" s="38" t="s">
        <v>892</v>
      </c>
      <c r="Q58" s="38" t="s">
        <v>893</v>
      </c>
      <c r="R58" s="38" t="s">
        <v>894</v>
      </c>
      <c r="S58" s="64"/>
      <c r="T58" s="95" t="s">
        <v>1022</v>
      </c>
      <c r="U58" s="38" t="s">
        <v>879</v>
      </c>
      <c r="V58" s="38" t="s">
        <v>880</v>
      </c>
      <c r="W58" s="38" t="s">
        <v>881</v>
      </c>
      <c r="X58" s="38" t="s">
        <v>882</v>
      </c>
      <c r="Y58" s="38" t="s">
        <v>883</v>
      </c>
      <c r="Z58" s="38" t="s">
        <v>884</v>
      </c>
      <c r="AA58" s="38" t="s">
        <v>885</v>
      </c>
      <c r="AB58" s="38" t="s">
        <v>886</v>
      </c>
      <c r="AC58" s="38" t="s">
        <v>887</v>
      </c>
      <c r="AD58" s="38" t="s">
        <v>888</v>
      </c>
      <c r="AE58" s="38" t="s">
        <v>889</v>
      </c>
      <c r="AF58" s="38" t="s">
        <v>890</v>
      </c>
      <c r="AG58" s="38" t="s">
        <v>891</v>
      </c>
      <c r="AH58" s="38" t="s">
        <v>892</v>
      </c>
      <c r="AI58" s="38" t="s">
        <v>893</v>
      </c>
      <c r="AJ58" s="38" t="s">
        <v>894</v>
      </c>
    </row>
    <row r="59" spans="2:36" x14ac:dyDescent="0.25">
      <c r="B59" s="96" t="s">
        <v>1019</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1019</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25">
      <c r="B60" s="97" t="s">
        <v>1024</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1024</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25">
      <c r="B61" s="97" t="s">
        <v>1025</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1025</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25">
      <c r="B62" s="98" t="s">
        <v>1026</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1026</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25">
      <c r="B64" s="290">
        <f>HLOOKUP($B$5,Region_Table,18,0)</f>
        <v>0</v>
      </c>
      <c r="C64" s="512" t="s">
        <v>1160</v>
      </c>
      <c r="D64" s="513"/>
      <c r="E64" s="513"/>
      <c r="F64" s="513"/>
      <c r="G64" s="513"/>
      <c r="H64" s="513"/>
      <c r="I64" s="513"/>
      <c r="J64" s="513"/>
      <c r="K64" s="513"/>
      <c r="L64" s="513"/>
      <c r="M64" s="542"/>
      <c r="N64" s="542"/>
      <c r="O64" s="543"/>
      <c r="P64" s="515" cm="1">
        <f t="array" ref="P64">SUM(SUMIFS('caseload data'!V:V,'caseload data'!B:B,{"licence","community"},'caseload data'!$C:$C,'community caseload'!B64))</f>
        <v>0</v>
      </c>
      <c r="Q64" s="532"/>
      <c r="R64" s="533"/>
      <c r="S64" s="292"/>
      <c r="T64" s="290">
        <f>HLOOKUP($B$5,Region_Table,19,0)</f>
        <v>0</v>
      </c>
      <c r="U64" s="512" t="s">
        <v>1160</v>
      </c>
      <c r="V64" s="513"/>
      <c r="W64" s="513"/>
      <c r="X64" s="513"/>
      <c r="Y64" s="513"/>
      <c r="Z64" s="513"/>
      <c r="AA64" s="513"/>
      <c r="AB64" s="513"/>
      <c r="AC64" s="513"/>
      <c r="AD64" s="513"/>
      <c r="AE64" s="542"/>
      <c r="AF64" s="542"/>
      <c r="AG64" s="543"/>
      <c r="AH64" s="515" cm="1">
        <f t="array" ref="AH64">SUM(SUMIFS('caseload data'!V:V,'caseload data'!B:B,{"licence","community"},'caseload data'!$C:$C,'community caseload'!T64))</f>
        <v>0</v>
      </c>
      <c r="AI64" s="532"/>
      <c r="AJ64" s="533"/>
    </row>
    <row r="65" spans="2:36" x14ac:dyDescent="0.25">
      <c r="B65" s="95" t="s">
        <v>1022</v>
      </c>
      <c r="C65" s="38" t="s">
        <v>879</v>
      </c>
      <c r="D65" s="38" t="s">
        <v>880</v>
      </c>
      <c r="E65" s="38" t="s">
        <v>881</v>
      </c>
      <c r="F65" s="38" t="s">
        <v>882</v>
      </c>
      <c r="G65" s="38" t="s">
        <v>883</v>
      </c>
      <c r="H65" s="38" t="s">
        <v>884</v>
      </c>
      <c r="I65" s="38" t="s">
        <v>885</v>
      </c>
      <c r="J65" s="38" t="s">
        <v>886</v>
      </c>
      <c r="K65" s="38" t="s">
        <v>887</v>
      </c>
      <c r="L65" s="38" t="s">
        <v>888</v>
      </c>
      <c r="M65" s="38" t="s">
        <v>889</v>
      </c>
      <c r="N65" s="38" t="s">
        <v>890</v>
      </c>
      <c r="O65" s="38" t="s">
        <v>891</v>
      </c>
      <c r="P65" s="38" t="s">
        <v>892</v>
      </c>
      <c r="Q65" s="38" t="s">
        <v>893</v>
      </c>
      <c r="R65" s="38" t="s">
        <v>894</v>
      </c>
      <c r="S65" s="64"/>
      <c r="T65" s="95" t="s">
        <v>1022</v>
      </c>
      <c r="U65" s="38" t="s">
        <v>879</v>
      </c>
      <c r="V65" s="38" t="s">
        <v>880</v>
      </c>
      <c r="W65" s="38" t="s">
        <v>881</v>
      </c>
      <c r="X65" s="38" t="s">
        <v>882</v>
      </c>
      <c r="Y65" s="38" t="s">
        <v>883</v>
      </c>
      <c r="Z65" s="38" t="s">
        <v>884</v>
      </c>
      <c r="AA65" s="38" t="s">
        <v>885</v>
      </c>
      <c r="AB65" s="38" t="s">
        <v>886</v>
      </c>
      <c r="AC65" s="38" t="s">
        <v>887</v>
      </c>
      <c r="AD65" s="38" t="s">
        <v>888</v>
      </c>
      <c r="AE65" s="38" t="s">
        <v>889</v>
      </c>
      <c r="AF65" s="38" t="s">
        <v>890</v>
      </c>
      <c r="AG65" s="38" t="s">
        <v>891</v>
      </c>
      <c r="AH65" s="38" t="s">
        <v>892</v>
      </c>
      <c r="AI65" s="38" t="s">
        <v>893</v>
      </c>
      <c r="AJ65" s="38" t="s">
        <v>894</v>
      </c>
    </row>
    <row r="66" spans="2:36" x14ac:dyDescent="0.25">
      <c r="B66" s="96" t="s">
        <v>1019</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1019</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25">
      <c r="B67" s="97" t="s">
        <v>1024</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1024</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25">
      <c r="B68" s="97" t="s">
        <v>1025</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1025</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25">
      <c r="B69" s="98" t="s">
        <v>1026</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1026</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25">
      <c r="B71" s="290">
        <f>HLOOKUP($B$5,Region_Table,20,0)</f>
        <v>0</v>
      </c>
      <c r="C71" s="512" t="s">
        <v>1160</v>
      </c>
      <c r="D71" s="513"/>
      <c r="E71" s="513"/>
      <c r="F71" s="513"/>
      <c r="G71" s="513"/>
      <c r="H71" s="513"/>
      <c r="I71" s="513"/>
      <c r="J71" s="513"/>
      <c r="K71" s="513"/>
      <c r="L71" s="513"/>
      <c r="M71" s="542"/>
      <c r="N71" s="542"/>
      <c r="O71" s="543"/>
      <c r="P71" s="515" cm="1">
        <f t="array" ref="P71">SUM(SUMIFS('caseload data'!V:V,'caseload data'!B:B,{"licence","community"},'caseload data'!$C:$C,'community caseload'!B71))</f>
        <v>0</v>
      </c>
      <c r="Q71" s="532"/>
      <c r="R71" s="533"/>
      <c r="S71" s="292"/>
      <c r="T71" s="290">
        <f>HLOOKUP($B$5,Region_Table,21,0)</f>
        <v>0</v>
      </c>
      <c r="U71" s="512" t="s">
        <v>1160</v>
      </c>
      <c r="V71" s="513"/>
      <c r="W71" s="513"/>
      <c r="X71" s="513"/>
      <c r="Y71" s="513"/>
      <c r="Z71" s="513"/>
      <c r="AA71" s="513"/>
      <c r="AB71" s="513"/>
      <c r="AC71" s="513"/>
      <c r="AD71" s="513"/>
      <c r="AE71" s="542"/>
      <c r="AF71" s="542"/>
      <c r="AG71" s="543"/>
      <c r="AH71" s="515" cm="1">
        <f t="array" ref="AH71">SUM(SUMIFS('caseload data'!V:V,'caseload data'!B:B,{"licence","community"},'caseload data'!$C:$C,'community caseload'!T71))</f>
        <v>0</v>
      </c>
      <c r="AI71" s="532"/>
      <c r="AJ71" s="533"/>
    </row>
    <row r="72" spans="2:36" x14ac:dyDescent="0.25">
      <c r="B72" s="95" t="s">
        <v>1022</v>
      </c>
      <c r="C72" s="38" t="s">
        <v>879</v>
      </c>
      <c r="D72" s="38" t="s">
        <v>880</v>
      </c>
      <c r="E72" s="38" t="s">
        <v>881</v>
      </c>
      <c r="F72" s="38" t="s">
        <v>882</v>
      </c>
      <c r="G72" s="38" t="s">
        <v>883</v>
      </c>
      <c r="H72" s="38" t="s">
        <v>884</v>
      </c>
      <c r="I72" s="38" t="s">
        <v>885</v>
      </c>
      <c r="J72" s="38" t="s">
        <v>886</v>
      </c>
      <c r="K72" s="38" t="s">
        <v>887</v>
      </c>
      <c r="L72" s="38" t="s">
        <v>888</v>
      </c>
      <c r="M72" s="38" t="s">
        <v>889</v>
      </c>
      <c r="N72" s="38" t="s">
        <v>890</v>
      </c>
      <c r="O72" s="38" t="s">
        <v>891</v>
      </c>
      <c r="P72" s="38" t="s">
        <v>892</v>
      </c>
      <c r="Q72" s="38" t="s">
        <v>893</v>
      </c>
      <c r="R72" s="38" t="s">
        <v>894</v>
      </c>
      <c r="T72" s="95" t="s">
        <v>1022</v>
      </c>
      <c r="U72" s="38" t="s">
        <v>879</v>
      </c>
      <c r="V72" s="38" t="s">
        <v>880</v>
      </c>
      <c r="W72" s="38" t="s">
        <v>881</v>
      </c>
      <c r="X72" s="38" t="s">
        <v>882</v>
      </c>
      <c r="Y72" s="38" t="s">
        <v>883</v>
      </c>
      <c r="Z72" s="38" t="s">
        <v>884</v>
      </c>
      <c r="AA72" s="38" t="s">
        <v>885</v>
      </c>
      <c r="AB72" s="38" t="s">
        <v>886</v>
      </c>
      <c r="AC72" s="38" t="s">
        <v>887</v>
      </c>
      <c r="AD72" s="38" t="s">
        <v>888</v>
      </c>
      <c r="AE72" s="38" t="s">
        <v>889</v>
      </c>
      <c r="AF72" s="38" t="s">
        <v>890</v>
      </c>
      <c r="AG72" s="38" t="s">
        <v>891</v>
      </c>
      <c r="AH72" s="38" t="s">
        <v>892</v>
      </c>
      <c r="AI72" s="38" t="s">
        <v>893</v>
      </c>
      <c r="AJ72" s="38" t="s">
        <v>894</v>
      </c>
    </row>
    <row r="73" spans="2:36" x14ac:dyDescent="0.25">
      <c r="B73" s="96" t="s">
        <v>1019</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1019</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25">
      <c r="B74" s="97" t="s">
        <v>1024</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1024</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25">
      <c r="B75" s="97" t="s">
        <v>1025</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1025</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25">
      <c r="B76" s="98" t="s">
        <v>1026</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1026</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25">
      <c r="B78" s="290">
        <f>HLOOKUP($B$5,Region_Table,22,0)</f>
        <v>0</v>
      </c>
      <c r="C78" s="512" t="s">
        <v>1160</v>
      </c>
      <c r="D78" s="513"/>
      <c r="E78" s="513"/>
      <c r="F78" s="513"/>
      <c r="G78" s="513"/>
      <c r="H78" s="513"/>
      <c r="I78" s="513"/>
      <c r="J78" s="513"/>
      <c r="K78" s="513"/>
      <c r="L78" s="513"/>
      <c r="M78" s="542"/>
      <c r="N78" s="542"/>
      <c r="O78" s="543"/>
      <c r="P78" s="515" cm="1">
        <f t="array" ref="P78">SUM(SUMIFS('caseload data'!V:V,'caseload data'!B:B,{"licence","community"},'caseload data'!$C:$C,'community caseload'!B78))</f>
        <v>0</v>
      </c>
      <c r="Q78" s="532"/>
      <c r="R78" s="533"/>
      <c r="S78" s="292"/>
      <c r="T78" s="290">
        <f>HLOOKUP($B$5,Region_Table,23,0)</f>
        <v>0</v>
      </c>
      <c r="U78" s="512" t="s">
        <v>1160</v>
      </c>
      <c r="V78" s="513"/>
      <c r="W78" s="513"/>
      <c r="X78" s="513"/>
      <c r="Y78" s="513"/>
      <c r="Z78" s="513"/>
      <c r="AA78" s="513"/>
      <c r="AB78" s="513"/>
      <c r="AC78" s="513"/>
      <c r="AD78" s="513"/>
      <c r="AE78" s="542"/>
      <c r="AF78" s="542"/>
      <c r="AG78" s="543"/>
      <c r="AH78" s="515" cm="1">
        <f t="array" ref="AH78">SUM(SUMIFS('caseload data'!V:V,'caseload data'!B:B,{"licence","community"},'caseload data'!$C:$C,'community caseload'!T78))</f>
        <v>0</v>
      </c>
      <c r="AI78" s="532"/>
      <c r="AJ78" s="533"/>
    </row>
    <row r="79" spans="2:36" x14ac:dyDescent="0.25">
      <c r="B79" s="291" t="s">
        <v>1022</v>
      </c>
      <c r="C79" s="38" t="s">
        <v>879</v>
      </c>
      <c r="D79" s="38" t="s">
        <v>880</v>
      </c>
      <c r="E79" s="38" t="s">
        <v>881</v>
      </c>
      <c r="F79" s="38" t="s">
        <v>882</v>
      </c>
      <c r="G79" s="38" t="s">
        <v>883</v>
      </c>
      <c r="H79" s="38" t="s">
        <v>884</v>
      </c>
      <c r="I79" s="38" t="s">
        <v>885</v>
      </c>
      <c r="J79" s="38" t="s">
        <v>886</v>
      </c>
      <c r="K79" s="38" t="s">
        <v>887</v>
      </c>
      <c r="L79" s="38" t="s">
        <v>888</v>
      </c>
      <c r="M79" s="38" t="s">
        <v>889</v>
      </c>
      <c r="N79" s="38" t="s">
        <v>890</v>
      </c>
      <c r="O79" s="38" t="s">
        <v>891</v>
      </c>
      <c r="P79" s="38" t="s">
        <v>892</v>
      </c>
      <c r="Q79" s="38" t="s">
        <v>893</v>
      </c>
      <c r="R79" s="38" t="s">
        <v>894</v>
      </c>
      <c r="T79" s="95" t="s">
        <v>1022</v>
      </c>
      <c r="U79" s="38" t="s">
        <v>879</v>
      </c>
      <c r="V79" s="38" t="s">
        <v>880</v>
      </c>
      <c r="W79" s="38" t="s">
        <v>881</v>
      </c>
      <c r="X79" s="38" t="s">
        <v>882</v>
      </c>
      <c r="Y79" s="38" t="s">
        <v>883</v>
      </c>
      <c r="Z79" s="38" t="s">
        <v>884</v>
      </c>
      <c r="AA79" s="38" t="s">
        <v>885</v>
      </c>
      <c r="AB79" s="38" t="s">
        <v>886</v>
      </c>
      <c r="AC79" s="38" t="s">
        <v>887</v>
      </c>
      <c r="AD79" s="38" t="s">
        <v>888</v>
      </c>
      <c r="AE79" s="38" t="s">
        <v>889</v>
      </c>
      <c r="AF79" s="38" t="s">
        <v>890</v>
      </c>
      <c r="AG79" s="38" t="s">
        <v>891</v>
      </c>
      <c r="AH79" s="38" t="s">
        <v>892</v>
      </c>
      <c r="AI79" s="38" t="s">
        <v>893</v>
      </c>
      <c r="AJ79" s="38" t="s">
        <v>894</v>
      </c>
    </row>
    <row r="80" spans="2:36" x14ac:dyDescent="0.25">
      <c r="B80" s="96" t="s">
        <v>1019</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1019</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25">
      <c r="B81" s="97" t="s">
        <v>1024</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1024</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25">
      <c r="B82" s="97" t="s">
        <v>1025</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1025</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25">
      <c r="B83" s="98" t="s">
        <v>1026</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1026</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25">
      <c r="B85" s="290">
        <f>HLOOKUP($B$5,Region_Table,24,0)</f>
        <v>0</v>
      </c>
      <c r="C85" s="512" t="s">
        <v>1160</v>
      </c>
      <c r="D85" s="513"/>
      <c r="E85" s="513"/>
      <c r="F85" s="513"/>
      <c r="G85" s="513"/>
      <c r="H85" s="513"/>
      <c r="I85" s="513"/>
      <c r="J85" s="513"/>
      <c r="K85" s="513"/>
      <c r="L85" s="513"/>
      <c r="M85" s="542"/>
      <c r="N85" s="542"/>
      <c r="O85" s="543"/>
      <c r="P85" s="515" cm="1">
        <f t="array" ref="P85">SUM(SUMIFS('caseload data'!V:V,'caseload data'!B:B,{"licence","community"},'caseload data'!$C:$C,'community caseload'!B85))</f>
        <v>0</v>
      </c>
      <c r="Q85" s="532"/>
      <c r="R85" s="533"/>
      <c r="S85" s="292"/>
      <c r="T85" s="290">
        <f>HLOOKUP($B$5,Region_Table,25,0)</f>
        <v>0</v>
      </c>
      <c r="U85" s="512" t="s">
        <v>1160</v>
      </c>
      <c r="V85" s="513"/>
      <c r="W85" s="513"/>
      <c r="X85" s="513"/>
      <c r="Y85" s="513"/>
      <c r="Z85" s="513"/>
      <c r="AA85" s="513"/>
      <c r="AB85" s="513"/>
      <c r="AC85" s="513"/>
      <c r="AD85" s="513"/>
      <c r="AE85" s="542"/>
      <c r="AF85" s="542"/>
      <c r="AG85" s="543"/>
      <c r="AH85" s="515" cm="1">
        <f t="array" ref="AH85">SUM(SUMIFS('caseload data'!V:V,'caseload data'!B:B,{"licence","community"},'caseload data'!$C:$C,'community caseload'!T85))</f>
        <v>0</v>
      </c>
      <c r="AI85" s="532"/>
      <c r="AJ85" s="533"/>
    </row>
    <row r="86" spans="2:36" x14ac:dyDescent="0.25">
      <c r="B86" s="95" t="s">
        <v>1022</v>
      </c>
      <c r="C86" s="38" t="s">
        <v>879</v>
      </c>
      <c r="D86" s="38" t="s">
        <v>880</v>
      </c>
      <c r="E86" s="38" t="s">
        <v>881</v>
      </c>
      <c r="F86" s="38" t="s">
        <v>882</v>
      </c>
      <c r="G86" s="38" t="s">
        <v>883</v>
      </c>
      <c r="H86" s="38" t="s">
        <v>884</v>
      </c>
      <c r="I86" s="38" t="s">
        <v>885</v>
      </c>
      <c r="J86" s="38" t="s">
        <v>886</v>
      </c>
      <c r="K86" s="38" t="s">
        <v>887</v>
      </c>
      <c r="L86" s="38" t="s">
        <v>888</v>
      </c>
      <c r="M86" s="38" t="s">
        <v>889</v>
      </c>
      <c r="N86" s="38" t="s">
        <v>890</v>
      </c>
      <c r="O86" s="38" t="s">
        <v>891</v>
      </c>
      <c r="P86" s="38" t="s">
        <v>892</v>
      </c>
      <c r="Q86" s="38" t="s">
        <v>893</v>
      </c>
      <c r="R86" s="38" t="s">
        <v>894</v>
      </c>
      <c r="T86" s="95" t="s">
        <v>1022</v>
      </c>
      <c r="U86" s="38" t="s">
        <v>879</v>
      </c>
      <c r="V86" s="38" t="s">
        <v>880</v>
      </c>
      <c r="W86" s="38" t="s">
        <v>881</v>
      </c>
      <c r="X86" s="38" t="s">
        <v>882</v>
      </c>
      <c r="Y86" s="38" t="s">
        <v>883</v>
      </c>
      <c r="Z86" s="38" t="s">
        <v>884</v>
      </c>
      <c r="AA86" s="38" t="s">
        <v>885</v>
      </c>
      <c r="AB86" s="38" t="s">
        <v>886</v>
      </c>
      <c r="AC86" s="38" t="s">
        <v>887</v>
      </c>
      <c r="AD86" s="38" t="s">
        <v>888</v>
      </c>
      <c r="AE86" s="38" t="s">
        <v>889</v>
      </c>
      <c r="AF86" s="38" t="s">
        <v>890</v>
      </c>
      <c r="AG86" s="38" t="s">
        <v>891</v>
      </c>
      <c r="AH86" s="38" t="s">
        <v>892</v>
      </c>
      <c r="AI86" s="38" t="s">
        <v>893</v>
      </c>
      <c r="AJ86" s="38" t="s">
        <v>894</v>
      </c>
    </row>
    <row r="87" spans="2:36" x14ac:dyDescent="0.25">
      <c r="B87" s="96" t="s">
        <v>1019</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1019</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25">
      <c r="B88" s="97" t="s">
        <v>1024</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1024</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25">
      <c r="B89" s="97" t="s">
        <v>1025</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1025</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25">
      <c r="B90" s="98" t="s">
        <v>1026</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1026</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25">
      <c r="B92" s="290">
        <f>HLOOKUP($B$5,Region_Table,26,0)</f>
        <v>0</v>
      </c>
      <c r="C92" s="512" t="s">
        <v>1160</v>
      </c>
      <c r="D92" s="513"/>
      <c r="E92" s="513"/>
      <c r="F92" s="513"/>
      <c r="G92" s="513"/>
      <c r="H92" s="513"/>
      <c r="I92" s="513"/>
      <c r="J92" s="513"/>
      <c r="K92" s="513"/>
      <c r="L92" s="513"/>
      <c r="M92" s="542"/>
      <c r="N92" s="542"/>
      <c r="O92" s="543"/>
      <c r="P92" s="515" cm="1">
        <f t="array" ref="P92">SUM(SUMIFS('caseload data'!V:V,'caseload data'!B:B,{"licence","community"},'caseload data'!$C:$C,'community caseload'!B92))</f>
        <v>0</v>
      </c>
      <c r="Q92" s="532"/>
      <c r="R92" s="533"/>
      <c r="T92" s="290">
        <f>HLOOKUP($B$5,Region_Table,27,0)</f>
        <v>0</v>
      </c>
      <c r="U92" s="512" t="s">
        <v>1160</v>
      </c>
      <c r="V92" s="513"/>
      <c r="W92" s="513"/>
      <c r="X92" s="513"/>
      <c r="Y92" s="513"/>
      <c r="Z92" s="513"/>
      <c r="AA92" s="513"/>
      <c r="AB92" s="513"/>
      <c r="AC92" s="513"/>
      <c r="AD92" s="513"/>
      <c r="AE92" s="542"/>
      <c r="AF92" s="542"/>
      <c r="AG92" s="543"/>
      <c r="AH92" s="515" cm="1">
        <f t="array" ref="AH92">SUM(SUMIFS('caseload data'!V:V,'caseload data'!B:B,{"licence","community"},'caseload data'!$C:$C,'community caseload'!T92))</f>
        <v>0</v>
      </c>
      <c r="AI92" s="532"/>
      <c r="AJ92" s="533"/>
    </row>
    <row r="93" spans="2:36" x14ac:dyDescent="0.25">
      <c r="B93" s="95" t="s">
        <v>1022</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T93" s="95" t="s">
        <v>1022</v>
      </c>
      <c r="U93" s="38" t="s">
        <v>879</v>
      </c>
      <c r="V93" s="38" t="s">
        <v>880</v>
      </c>
      <c r="W93" s="38" t="s">
        <v>881</v>
      </c>
      <c r="X93" s="38" t="s">
        <v>882</v>
      </c>
      <c r="Y93" s="38" t="s">
        <v>883</v>
      </c>
      <c r="Z93" s="38" t="s">
        <v>884</v>
      </c>
      <c r="AA93" s="38" t="s">
        <v>885</v>
      </c>
      <c r="AB93" s="38" t="s">
        <v>886</v>
      </c>
      <c r="AC93" s="38" t="s">
        <v>887</v>
      </c>
      <c r="AD93" s="38" t="s">
        <v>888</v>
      </c>
      <c r="AE93" s="38" t="s">
        <v>889</v>
      </c>
      <c r="AF93" s="38" t="s">
        <v>890</v>
      </c>
      <c r="AG93" s="38" t="s">
        <v>891</v>
      </c>
      <c r="AH93" s="38" t="s">
        <v>892</v>
      </c>
      <c r="AI93" s="38" t="s">
        <v>893</v>
      </c>
      <c r="AJ93" s="38" t="s">
        <v>894</v>
      </c>
    </row>
    <row r="94" spans="2:36" x14ac:dyDescent="0.25">
      <c r="B94" s="96" t="s">
        <v>1019</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1019</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25">
      <c r="B95" s="97" t="s">
        <v>1024</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1024</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25">
      <c r="B96" s="97" t="s">
        <v>1025</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1025</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25">
      <c r="B97" s="98" t="s">
        <v>1026</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1026</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25">
      <c r="B99" s="290">
        <f>HLOOKUP($B$5,Region_Table,28,0)</f>
        <v>0</v>
      </c>
      <c r="C99" s="512" t="s">
        <v>1160</v>
      </c>
      <c r="D99" s="513"/>
      <c r="E99" s="513"/>
      <c r="F99" s="513"/>
      <c r="G99" s="513"/>
      <c r="H99" s="513"/>
      <c r="I99" s="513"/>
      <c r="J99" s="513"/>
      <c r="K99" s="513"/>
      <c r="L99" s="513"/>
      <c r="M99" s="542"/>
      <c r="N99" s="542"/>
      <c r="O99" s="543"/>
      <c r="P99" s="515" cm="1">
        <f t="array" ref="P99">SUM(SUMIFS('caseload data'!V:V,'caseload data'!B:B,{"licence","community"},'caseload data'!$C:$C,'community caseload'!B99))</f>
        <v>0</v>
      </c>
      <c r="Q99" s="532"/>
      <c r="R99" s="533"/>
    </row>
    <row r="100" spans="2:36" x14ac:dyDescent="0.25">
      <c r="B100" s="291" t="s">
        <v>1022</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row>
    <row r="101" spans="2:36" x14ac:dyDescent="0.25">
      <c r="B101" s="96" t="s">
        <v>1019</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25">
      <c r="B102" s="97" t="s">
        <v>1024</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25">
      <c r="B103" s="97" t="s">
        <v>1025</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25">
      <c r="B104" s="98" t="s">
        <v>1026</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2" priority="647" operator="equal">
      <formula>0</formula>
    </cfRule>
    <cfRule type="cellIs" dxfId="1321" priority="648" operator="notEqual">
      <formula>0</formula>
    </cfRule>
  </conditionalFormatting>
  <conditionalFormatting sqref="D11:D12">
    <cfRule type="cellIs" dxfId="1320" priority="645" operator="equal">
      <formula>0</formula>
    </cfRule>
    <cfRule type="cellIs" dxfId="1319" priority="646" operator="notEqual">
      <formula>0</formula>
    </cfRule>
  </conditionalFormatting>
  <conditionalFormatting sqref="E11:E12">
    <cfRule type="cellIs" dxfId="1318" priority="643" operator="equal">
      <formula>0</formula>
    </cfRule>
    <cfRule type="cellIs" dxfId="1317" priority="644" operator="notEqual">
      <formula>0</formula>
    </cfRule>
  </conditionalFormatting>
  <conditionalFormatting sqref="F11:F12">
    <cfRule type="cellIs" dxfId="1316" priority="641" operator="equal">
      <formula>0</formula>
    </cfRule>
    <cfRule type="cellIs" dxfId="1315" priority="642" operator="notEqual">
      <formula>0</formula>
    </cfRule>
  </conditionalFormatting>
  <conditionalFormatting sqref="G11:G12">
    <cfRule type="cellIs" dxfId="1314" priority="639" operator="equal">
      <formula>0</formula>
    </cfRule>
    <cfRule type="cellIs" dxfId="1313" priority="640" operator="notEqual">
      <formula>0</formula>
    </cfRule>
  </conditionalFormatting>
  <conditionalFormatting sqref="H11:H12">
    <cfRule type="cellIs" dxfId="1312" priority="637" operator="equal">
      <formula>0</formula>
    </cfRule>
    <cfRule type="cellIs" dxfId="1311" priority="638" operator="notEqual">
      <formula>0</formula>
    </cfRule>
  </conditionalFormatting>
  <conditionalFormatting sqref="I11:I12">
    <cfRule type="cellIs" dxfId="1310" priority="635" operator="equal">
      <formula>0</formula>
    </cfRule>
    <cfRule type="cellIs" dxfId="1309" priority="636" operator="notEqual">
      <formula>0</formula>
    </cfRule>
  </conditionalFormatting>
  <conditionalFormatting sqref="J11:J12">
    <cfRule type="cellIs" dxfId="1308" priority="633" operator="equal">
      <formula>0</formula>
    </cfRule>
    <cfRule type="cellIs" dxfId="1307" priority="634" operator="notEqual">
      <formula>0</formula>
    </cfRule>
  </conditionalFormatting>
  <conditionalFormatting sqref="O10">
    <cfRule type="cellIs" dxfId="1306" priority="631" operator="equal">
      <formula>0</formula>
    </cfRule>
    <cfRule type="cellIs" dxfId="1305" priority="632" operator="notEqual">
      <formula>0</formula>
    </cfRule>
  </conditionalFormatting>
  <conditionalFormatting sqref="P10">
    <cfRule type="cellIs" dxfId="1304" priority="629" operator="equal">
      <formula>0</formula>
    </cfRule>
    <cfRule type="cellIs" dxfId="1303" priority="630" operator="notEqual">
      <formula>0</formula>
    </cfRule>
  </conditionalFormatting>
  <conditionalFormatting sqref="Q10">
    <cfRule type="cellIs" dxfId="1302" priority="627" operator="equal">
      <formula>0</formula>
    </cfRule>
    <cfRule type="cellIs" dxfId="1301" priority="628" operator="notEqual">
      <formula>0</formula>
    </cfRule>
  </conditionalFormatting>
  <conditionalFormatting sqref="R10">
    <cfRule type="cellIs" dxfId="1300" priority="625" operator="equal">
      <formula>0</formula>
    </cfRule>
    <cfRule type="cellIs" dxfId="1299" priority="626" operator="notEqual">
      <formula>0</formula>
    </cfRule>
  </conditionalFormatting>
  <conditionalFormatting sqref="C18:C19">
    <cfRule type="cellIs" dxfId="1298" priority="623" operator="equal">
      <formula>0</formula>
    </cfRule>
    <cfRule type="cellIs" dxfId="1297" priority="624" operator="notEqual">
      <formula>0</formula>
    </cfRule>
  </conditionalFormatting>
  <conditionalFormatting sqref="D18:D19">
    <cfRule type="cellIs" dxfId="1296" priority="621" operator="equal">
      <formula>0</formula>
    </cfRule>
    <cfRule type="cellIs" dxfId="1295" priority="622" operator="notEqual">
      <formula>0</formula>
    </cfRule>
  </conditionalFormatting>
  <conditionalFormatting sqref="E18:E19">
    <cfRule type="cellIs" dxfId="1294" priority="619" operator="equal">
      <formula>0</formula>
    </cfRule>
    <cfRule type="cellIs" dxfId="1293" priority="620" operator="notEqual">
      <formula>0</formula>
    </cfRule>
  </conditionalFormatting>
  <conditionalFormatting sqref="F18:F19">
    <cfRule type="cellIs" dxfId="1292" priority="617" operator="equal">
      <formula>0</formula>
    </cfRule>
    <cfRule type="cellIs" dxfId="1291" priority="618" operator="notEqual">
      <formula>0</formula>
    </cfRule>
  </conditionalFormatting>
  <conditionalFormatting sqref="G18:G19">
    <cfRule type="cellIs" dxfId="1290" priority="615" operator="equal">
      <formula>0</formula>
    </cfRule>
    <cfRule type="cellIs" dxfId="1289" priority="616" operator="notEqual">
      <formula>0</formula>
    </cfRule>
  </conditionalFormatting>
  <conditionalFormatting sqref="H18:H19">
    <cfRule type="cellIs" dxfId="1288" priority="613" operator="equal">
      <formula>0</formula>
    </cfRule>
    <cfRule type="cellIs" dxfId="1287" priority="614" operator="notEqual">
      <formula>0</formula>
    </cfRule>
  </conditionalFormatting>
  <conditionalFormatting sqref="I18:I19">
    <cfRule type="cellIs" dxfId="1286" priority="611" operator="equal">
      <formula>0</formula>
    </cfRule>
    <cfRule type="cellIs" dxfId="1285" priority="612" operator="notEqual">
      <formula>0</formula>
    </cfRule>
  </conditionalFormatting>
  <conditionalFormatting sqref="J18:J19">
    <cfRule type="cellIs" dxfId="1284" priority="609" operator="equal">
      <formula>0</formula>
    </cfRule>
    <cfRule type="cellIs" dxfId="1283" priority="610" operator="notEqual">
      <formula>0</formula>
    </cfRule>
  </conditionalFormatting>
  <conditionalFormatting sqref="O17">
    <cfRule type="cellIs" dxfId="1282" priority="607" operator="equal">
      <formula>0</formula>
    </cfRule>
    <cfRule type="cellIs" dxfId="1281" priority="608" operator="notEqual">
      <formula>0</formula>
    </cfRule>
  </conditionalFormatting>
  <conditionalFormatting sqref="P17">
    <cfRule type="cellIs" dxfId="1280" priority="605" operator="equal">
      <formula>0</formula>
    </cfRule>
    <cfRule type="cellIs" dxfId="1279" priority="606" operator="notEqual">
      <formula>0</formula>
    </cfRule>
  </conditionalFormatting>
  <conditionalFormatting sqref="Q17">
    <cfRule type="cellIs" dxfId="1278" priority="603" operator="equal">
      <formula>0</formula>
    </cfRule>
    <cfRule type="cellIs" dxfId="1277" priority="604" operator="notEqual">
      <formula>0</formula>
    </cfRule>
  </conditionalFormatting>
  <conditionalFormatting sqref="R17">
    <cfRule type="cellIs" dxfId="1276" priority="601" operator="equal">
      <formula>0</formula>
    </cfRule>
    <cfRule type="cellIs" dxfId="1275" priority="602" operator="notEqual">
      <formula>0</formula>
    </cfRule>
  </conditionalFormatting>
  <conditionalFormatting sqref="C25:C26">
    <cfRule type="cellIs" dxfId="1274" priority="599" operator="equal">
      <formula>0</formula>
    </cfRule>
    <cfRule type="cellIs" dxfId="1273" priority="600" operator="notEqual">
      <formula>0</formula>
    </cfRule>
  </conditionalFormatting>
  <conditionalFormatting sqref="D25:D26">
    <cfRule type="cellIs" dxfId="1272" priority="597" operator="equal">
      <formula>0</formula>
    </cfRule>
    <cfRule type="cellIs" dxfId="1271" priority="598" operator="notEqual">
      <formula>0</formula>
    </cfRule>
  </conditionalFormatting>
  <conditionalFormatting sqref="E25:E26">
    <cfRule type="cellIs" dxfId="1270" priority="595" operator="equal">
      <formula>0</formula>
    </cfRule>
    <cfRule type="cellIs" dxfId="1269" priority="596" operator="notEqual">
      <formula>0</formula>
    </cfRule>
  </conditionalFormatting>
  <conditionalFormatting sqref="F25:F26">
    <cfRule type="cellIs" dxfId="1268" priority="593" operator="equal">
      <formula>0</formula>
    </cfRule>
    <cfRule type="cellIs" dxfId="1267" priority="594" operator="notEqual">
      <formula>0</formula>
    </cfRule>
  </conditionalFormatting>
  <conditionalFormatting sqref="G25:G26">
    <cfRule type="cellIs" dxfId="1266" priority="591" operator="equal">
      <formula>0</formula>
    </cfRule>
    <cfRule type="cellIs" dxfId="1265" priority="592" operator="notEqual">
      <formula>0</formula>
    </cfRule>
  </conditionalFormatting>
  <conditionalFormatting sqref="H25:H26">
    <cfRule type="cellIs" dxfId="1264" priority="589" operator="equal">
      <formula>0</formula>
    </cfRule>
    <cfRule type="cellIs" dxfId="1263" priority="590" operator="notEqual">
      <formula>0</formula>
    </cfRule>
  </conditionalFormatting>
  <conditionalFormatting sqref="I25:I26">
    <cfRule type="cellIs" dxfId="1262" priority="587" operator="equal">
      <formula>0</formula>
    </cfRule>
    <cfRule type="cellIs" dxfId="1261" priority="588" operator="notEqual">
      <formula>0</formula>
    </cfRule>
  </conditionalFormatting>
  <conditionalFormatting sqref="J25:J26">
    <cfRule type="cellIs" dxfId="1260" priority="585" operator="equal">
      <formula>0</formula>
    </cfRule>
    <cfRule type="cellIs" dxfId="1259" priority="586" operator="notEqual">
      <formula>0</formula>
    </cfRule>
  </conditionalFormatting>
  <conditionalFormatting sqref="O24">
    <cfRule type="cellIs" dxfId="1258" priority="583" operator="equal">
      <formula>0</formula>
    </cfRule>
    <cfRule type="cellIs" dxfId="1257" priority="584" operator="notEqual">
      <formula>0</formula>
    </cfRule>
  </conditionalFormatting>
  <conditionalFormatting sqref="P24">
    <cfRule type="cellIs" dxfId="1256" priority="581" operator="equal">
      <formula>0</formula>
    </cfRule>
    <cfRule type="cellIs" dxfId="1255" priority="582" operator="notEqual">
      <formula>0</formula>
    </cfRule>
  </conditionalFormatting>
  <conditionalFormatting sqref="Q24">
    <cfRule type="cellIs" dxfId="1254" priority="579" operator="equal">
      <formula>0</formula>
    </cfRule>
    <cfRule type="cellIs" dxfId="1253" priority="580" operator="notEqual">
      <formula>0</formula>
    </cfRule>
  </conditionalFormatting>
  <conditionalFormatting sqref="R24">
    <cfRule type="cellIs" dxfId="1252" priority="577" operator="equal">
      <formula>0</formula>
    </cfRule>
    <cfRule type="cellIs" dxfId="1251" priority="578" operator="notEqual">
      <formula>0</formula>
    </cfRule>
  </conditionalFormatting>
  <conditionalFormatting sqref="C32:C33">
    <cfRule type="cellIs" dxfId="1250" priority="575" operator="equal">
      <formula>0</formula>
    </cfRule>
    <cfRule type="cellIs" dxfId="1249" priority="576" operator="notEqual">
      <formula>0</formula>
    </cfRule>
  </conditionalFormatting>
  <conditionalFormatting sqref="D32:D33">
    <cfRule type="cellIs" dxfId="1248" priority="573" operator="equal">
      <formula>0</formula>
    </cfRule>
    <cfRule type="cellIs" dxfId="1247" priority="574" operator="notEqual">
      <formula>0</formula>
    </cfRule>
  </conditionalFormatting>
  <conditionalFormatting sqref="E32:E33">
    <cfRule type="cellIs" dxfId="1246" priority="571" operator="equal">
      <formula>0</formula>
    </cfRule>
    <cfRule type="cellIs" dxfId="1245" priority="572" operator="notEqual">
      <formula>0</formula>
    </cfRule>
  </conditionalFormatting>
  <conditionalFormatting sqref="F32:F33">
    <cfRule type="cellIs" dxfId="1244" priority="569" operator="equal">
      <formula>0</formula>
    </cfRule>
    <cfRule type="cellIs" dxfId="1243" priority="570" operator="notEqual">
      <formula>0</formula>
    </cfRule>
  </conditionalFormatting>
  <conditionalFormatting sqref="G32:G33">
    <cfRule type="cellIs" dxfId="1242" priority="567" operator="equal">
      <formula>0</formula>
    </cfRule>
    <cfRule type="cellIs" dxfId="1241" priority="568" operator="notEqual">
      <formula>0</formula>
    </cfRule>
  </conditionalFormatting>
  <conditionalFormatting sqref="H32:H33">
    <cfRule type="cellIs" dxfId="1240" priority="565" operator="equal">
      <formula>0</formula>
    </cfRule>
    <cfRule type="cellIs" dxfId="1239" priority="566" operator="notEqual">
      <formula>0</formula>
    </cfRule>
  </conditionalFormatting>
  <conditionalFormatting sqref="I32:I33">
    <cfRule type="cellIs" dxfId="1238" priority="563" operator="equal">
      <formula>0</formula>
    </cfRule>
    <cfRule type="cellIs" dxfId="1237" priority="564" operator="notEqual">
      <formula>0</formula>
    </cfRule>
  </conditionalFormatting>
  <conditionalFormatting sqref="J32:J33">
    <cfRule type="cellIs" dxfId="1236" priority="561" operator="equal">
      <formula>0</formula>
    </cfRule>
    <cfRule type="cellIs" dxfId="1235" priority="562" operator="notEqual">
      <formula>0</formula>
    </cfRule>
  </conditionalFormatting>
  <conditionalFormatting sqref="O31">
    <cfRule type="cellIs" dxfId="1234" priority="559" operator="equal">
      <formula>0</formula>
    </cfRule>
    <cfRule type="cellIs" dxfId="1233" priority="560" operator="notEqual">
      <formula>0</formula>
    </cfRule>
  </conditionalFormatting>
  <conditionalFormatting sqref="P31">
    <cfRule type="cellIs" dxfId="1232" priority="557" operator="equal">
      <formula>0</formula>
    </cfRule>
    <cfRule type="cellIs" dxfId="1231" priority="558" operator="notEqual">
      <formula>0</formula>
    </cfRule>
  </conditionalFormatting>
  <conditionalFormatting sqref="Q31">
    <cfRule type="cellIs" dxfId="1230" priority="555" operator="equal">
      <formula>0</formula>
    </cfRule>
    <cfRule type="cellIs" dxfId="1229" priority="556" operator="notEqual">
      <formula>0</formula>
    </cfRule>
  </conditionalFormatting>
  <conditionalFormatting sqref="R31">
    <cfRule type="cellIs" dxfId="1228" priority="553" operator="equal">
      <formula>0</formula>
    </cfRule>
    <cfRule type="cellIs" dxfId="1227" priority="554" operator="notEqual">
      <formula>0</formula>
    </cfRule>
  </conditionalFormatting>
  <conditionalFormatting sqref="C39:C40">
    <cfRule type="cellIs" dxfId="1226" priority="551" operator="equal">
      <formula>0</formula>
    </cfRule>
    <cfRule type="cellIs" dxfId="1225" priority="552" operator="notEqual">
      <formula>0</formula>
    </cfRule>
  </conditionalFormatting>
  <conditionalFormatting sqref="D39:D40">
    <cfRule type="cellIs" dxfId="1224" priority="549" operator="equal">
      <formula>0</formula>
    </cfRule>
    <cfRule type="cellIs" dxfId="1223" priority="550" operator="notEqual">
      <formula>0</formula>
    </cfRule>
  </conditionalFormatting>
  <conditionalFormatting sqref="E39:E40">
    <cfRule type="cellIs" dxfId="1222" priority="547" operator="equal">
      <formula>0</formula>
    </cfRule>
    <cfRule type="cellIs" dxfId="1221" priority="548" operator="notEqual">
      <formula>0</formula>
    </cfRule>
  </conditionalFormatting>
  <conditionalFormatting sqref="F39:F40">
    <cfRule type="cellIs" dxfId="1220" priority="545" operator="equal">
      <formula>0</formula>
    </cfRule>
    <cfRule type="cellIs" dxfId="1219" priority="546" operator="notEqual">
      <formula>0</formula>
    </cfRule>
  </conditionalFormatting>
  <conditionalFormatting sqref="G39:G40">
    <cfRule type="cellIs" dxfId="1218" priority="543" operator="equal">
      <formula>0</formula>
    </cfRule>
    <cfRule type="cellIs" dxfId="1217" priority="544" operator="notEqual">
      <formula>0</formula>
    </cfRule>
  </conditionalFormatting>
  <conditionalFormatting sqref="H39:H40">
    <cfRule type="cellIs" dxfId="1216" priority="541" operator="equal">
      <formula>0</formula>
    </cfRule>
    <cfRule type="cellIs" dxfId="1215" priority="542" operator="notEqual">
      <formula>0</formula>
    </cfRule>
  </conditionalFormatting>
  <conditionalFormatting sqref="I39:I40">
    <cfRule type="cellIs" dxfId="1214" priority="539" operator="equal">
      <formula>0</formula>
    </cfRule>
    <cfRule type="cellIs" dxfId="1213" priority="540" operator="notEqual">
      <formula>0</formula>
    </cfRule>
  </conditionalFormatting>
  <conditionalFormatting sqref="J39:J40">
    <cfRule type="cellIs" dxfId="1212" priority="537" operator="equal">
      <formula>0</formula>
    </cfRule>
    <cfRule type="cellIs" dxfId="1211" priority="538" operator="notEqual">
      <formula>0</formula>
    </cfRule>
  </conditionalFormatting>
  <conditionalFormatting sqref="O38">
    <cfRule type="cellIs" dxfId="1210" priority="535" operator="equal">
      <formula>0</formula>
    </cfRule>
    <cfRule type="cellIs" dxfId="1209" priority="536" operator="notEqual">
      <formula>0</formula>
    </cfRule>
  </conditionalFormatting>
  <conditionalFormatting sqref="P38">
    <cfRule type="cellIs" dxfId="1208" priority="533" operator="equal">
      <formula>0</formula>
    </cfRule>
    <cfRule type="cellIs" dxfId="1207" priority="534" operator="notEqual">
      <formula>0</formula>
    </cfRule>
  </conditionalFormatting>
  <conditionalFormatting sqref="Q38">
    <cfRule type="cellIs" dxfId="1206" priority="531" operator="equal">
      <formula>0</formula>
    </cfRule>
    <cfRule type="cellIs" dxfId="1205" priority="532" operator="notEqual">
      <formula>0</formula>
    </cfRule>
  </conditionalFormatting>
  <conditionalFormatting sqref="R38">
    <cfRule type="cellIs" dxfId="1204" priority="529" operator="equal">
      <formula>0</formula>
    </cfRule>
    <cfRule type="cellIs" dxfId="1203" priority="530" operator="notEqual">
      <formula>0</formula>
    </cfRule>
  </conditionalFormatting>
  <conditionalFormatting sqref="C46:C47">
    <cfRule type="cellIs" dxfId="1202" priority="527" operator="equal">
      <formula>0</formula>
    </cfRule>
    <cfRule type="cellIs" dxfId="1201" priority="528" operator="notEqual">
      <formula>0</formula>
    </cfRule>
  </conditionalFormatting>
  <conditionalFormatting sqref="D46:D47">
    <cfRule type="cellIs" dxfId="1200" priority="525" operator="equal">
      <formula>0</formula>
    </cfRule>
    <cfRule type="cellIs" dxfId="1199" priority="526" operator="notEqual">
      <formula>0</formula>
    </cfRule>
  </conditionalFormatting>
  <conditionalFormatting sqref="E46:E47">
    <cfRule type="cellIs" dxfId="1198" priority="523" operator="equal">
      <formula>0</formula>
    </cfRule>
    <cfRule type="cellIs" dxfId="1197" priority="524" operator="notEqual">
      <formula>0</formula>
    </cfRule>
  </conditionalFormatting>
  <conditionalFormatting sqref="F46:F47">
    <cfRule type="cellIs" dxfId="1196" priority="521" operator="equal">
      <formula>0</formula>
    </cfRule>
    <cfRule type="cellIs" dxfId="1195" priority="522" operator="notEqual">
      <formula>0</formula>
    </cfRule>
  </conditionalFormatting>
  <conditionalFormatting sqref="G46:G47">
    <cfRule type="cellIs" dxfId="1194" priority="519" operator="equal">
      <formula>0</formula>
    </cfRule>
    <cfRule type="cellIs" dxfId="1193" priority="520" operator="notEqual">
      <formula>0</formula>
    </cfRule>
  </conditionalFormatting>
  <conditionalFormatting sqref="H46:H47">
    <cfRule type="cellIs" dxfId="1192" priority="517" operator="equal">
      <formula>0</formula>
    </cfRule>
    <cfRule type="cellIs" dxfId="1191" priority="518" operator="notEqual">
      <formula>0</formula>
    </cfRule>
  </conditionalFormatting>
  <conditionalFormatting sqref="I46:I47">
    <cfRule type="cellIs" dxfId="1190" priority="515" operator="equal">
      <formula>0</formula>
    </cfRule>
    <cfRule type="cellIs" dxfId="1189" priority="516" operator="notEqual">
      <formula>0</formula>
    </cfRule>
  </conditionalFormatting>
  <conditionalFormatting sqref="J46:J47">
    <cfRule type="cellIs" dxfId="1188" priority="513" operator="equal">
      <formula>0</formula>
    </cfRule>
    <cfRule type="cellIs" dxfId="1187" priority="514" operator="notEqual">
      <formula>0</formula>
    </cfRule>
  </conditionalFormatting>
  <conditionalFormatting sqref="O45">
    <cfRule type="cellIs" dxfId="1186" priority="511" operator="equal">
      <formula>0</formula>
    </cfRule>
    <cfRule type="cellIs" dxfId="1185" priority="512" operator="notEqual">
      <formula>0</formula>
    </cfRule>
  </conditionalFormatting>
  <conditionalFormatting sqref="P45">
    <cfRule type="cellIs" dxfId="1184" priority="509" operator="equal">
      <formula>0</formula>
    </cfRule>
    <cfRule type="cellIs" dxfId="1183" priority="510" operator="notEqual">
      <formula>0</formula>
    </cfRule>
  </conditionalFormatting>
  <conditionalFormatting sqref="Q45">
    <cfRule type="cellIs" dxfId="1182" priority="507" operator="equal">
      <formula>0</formula>
    </cfRule>
    <cfRule type="cellIs" dxfId="1181" priority="508" operator="notEqual">
      <formula>0</formula>
    </cfRule>
  </conditionalFormatting>
  <conditionalFormatting sqref="R45">
    <cfRule type="cellIs" dxfId="1180" priority="505" operator="equal">
      <formula>0</formula>
    </cfRule>
    <cfRule type="cellIs" dxfId="1179" priority="506" operator="notEqual">
      <formula>0</formula>
    </cfRule>
  </conditionalFormatting>
  <conditionalFormatting sqref="C53:C54">
    <cfRule type="cellIs" dxfId="1178" priority="503" operator="equal">
      <formula>0</formula>
    </cfRule>
    <cfRule type="cellIs" dxfId="1177" priority="504" operator="notEqual">
      <formula>0</formula>
    </cfRule>
  </conditionalFormatting>
  <conditionalFormatting sqref="D53:D54">
    <cfRule type="cellIs" dxfId="1176" priority="501" operator="equal">
      <formula>0</formula>
    </cfRule>
    <cfRule type="cellIs" dxfId="1175" priority="502" operator="notEqual">
      <formula>0</formula>
    </cfRule>
  </conditionalFormatting>
  <conditionalFormatting sqref="E53:E54">
    <cfRule type="cellIs" dxfId="1174" priority="499" operator="equal">
      <formula>0</formula>
    </cfRule>
    <cfRule type="cellIs" dxfId="1173" priority="500" operator="notEqual">
      <formula>0</formula>
    </cfRule>
  </conditionalFormatting>
  <conditionalFormatting sqref="F53:F54">
    <cfRule type="cellIs" dxfId="1172" priority="497" operator="equal">
      <formula>0</formula>
    </cfRule>
    <cfRule type="cellIs" dxfId="1171" priority="498" operator="notEqual">
      <formula>0</formula>
    </cfRule>
  </conditionalFormatting>
  <conditionalFormatting sqref="G53:G54">
    <cfRule type="cellIs" dxfId="1170" priority="495" operator="equal">
      <formula>0</formula>
    </cfRule>
    <cfRule type="cellIs" dxfId="1169" priority="496" operator="notEqual">
      <formula>0</formula>
    </cfRule>
  </conditionalFormatting>
  <conditionalFormatting sqref="H53:H54">
    <cfRule type="cellIs" dxfId="1168" priority="493" operator="equal">
      <formula>0</formula>
    </cfRule>
    <cfRule type="cellIs" dxfId="1167" priority="494" operator="notEqual">
      <formula>0</formula>
    </cfRule>
  </conditionalFormatting>
  <conditionalFormatting sqref="I53:I54">
    <cfRule type="cellIs" dxfId="1166" priority="491" operator="equal">
      <formula>0</formula>
    </cfRule>
    <cfRule type="cellIs" dxfId="1165" priority="492" operator="notEqual">
      <formula>0</formula>
    </cfRule>
  </conditionalFormatting>
  <conditionalFormatting sqref="J53:J54">
    <cfRule type="cellIs" dxfId="1164" priority="489" operator="equal">
      <formula>0</formula>
    </cfRule>
    <cfRule type="cellIs" dxfId="1163" priority="490" operator="notEqual">
      <formula>0</formula>
    </cfRule>
  </conditionalFormatting>
  <conditionalFormatting sqref="O52">
    <cfRule type="cellIs" dxfId="1162" priority="487" operator="equal">
      <formula>0</formula>
    </cfRule>
    <cfRule type="cellIs" dxfId="1161" priority="488" operator="notEqual">
      <formula>0</formula>
    </cfRule>
  </conditionalFormatting>
  <conditionalFormatting sqref="P52">
    <cfRule type="cellIs" dxfId="1160" priority="485" operator="equal">
      <formula>0</formula>
    </cfRule>
    <cfRule type="cellIs" dxfId="1159" priority="486" operator="notEqual">
      <formula>0</formula>
    </cfRule>
  </conditionalFormatting>
  <conditionalFormatting sqref="Q52">
    <cfRule type="cellIs" dxfId="1158" priority="483" operator="equal">
      <formula>0</formula>
    </cfRule>
    <cfRule type="cellIs" dxfId="1157" priority="484" operator="notEqual">
      <formula>0</formula>
    </cfRule>
  </conditionalFormatting>
  <conditionalFormatting sqref="R52">
    <cfRule type="cellIs" dxfId="1156" priority="481" operator="equal">
      <formula>0</formula>
    </cfRule>
    <cfRule type="cellIs" dxfId="1155" priority="482" operator="notEqual">
      <formula>0</formula>
    </cfRule>
  </conditionalFormatting>
  <conditionalFormatting sqref="C60:C61">
    <cfRule type="cellIs" dxfId="1154" priority="479" operator="equal">
      <formula>0</formula>
    </cfRule>
    <cfRule type="cellIs" dxfId="1153" priority="480" operator="notEqual">
      <formula>0</formula>
    </cfRule>
  </conditionalFormatting>
  <conditionalFormatting sqref="D60:D61">
    <cfRule type="cellIs" dxfId="1152" priority="477" operator="equal">
      <formula>0</formula>
    </cfRule>
    <cfRule type="cellIs" dxfId="1151" priority="478" operator="notEqual">
      <formula>0</formula>
    </cfRule>
  </conditionalFormatting>
  <conditionalFormatting sqref="E60:E61">
    <cfRule type="cellIs" dxfId="1150" priority="475" operator="equal">
      <formula>0</formula>
    </cfRule>
    <cfRule type="cellIs" dxfId="1149" priority="476" operator="notEqual">
      <formula>0</formula>
    </cfRule>
  </conditionalFormatting>
  <conditionalFormatting sqref="F60:F61">
    <cfRule type="cellIs" dxfId="1148" priority="473" operator="equal">
      <formula>0</formula>
    </cfRule>
    <cfRule type="cellIs" dxfId="1147" priority="474" operator="notEqual">
      <formula>0</formula>
    </cfRule>
  </conditionalFormatting>
  <conditionalFormatting sqref="G60:G61">
    <cfRule type="cellIs" dxfId="1146" priority="471" operator="equal">
      <formula>0</formula>
    </cfRule>
    <cfRule type="cellIs" dxfId="1145" priority="472" operator="notEqual">
      <formula>0</formula>
    </cfRule>
  </conditionalFormatting>
  <conditionalFormatting sqref="H60:H61">
    <cfRule type="cellIs" dxfId="1144" priority="469" operator="equal">
      <formula>0</formula>
    </cfRule>
    <cfRule type="cellIs" dxfId="1143" priority="470" operator="notEqual">
      <formula>0</formula>
    </cfRule>
  </conditionalFormatting>
  <conditionalFormatting sqref="I60:I61">
    <cfRule type="cellIs" dxfId="1142" priority="467" operator="equal">
      <formula>0</formula>
    </cfRule>
    <cfRule type="cellIs" dxfId="1141" priority="468" operator="notEqual">
      <formula>0</formula>
    </cfRule>
  </conditionalFormatting>
  <conditionalFormatting sqref="J60:J61">
    <cfRule type="cellIs" dxfId="1140" priority="465" operator="equal">
      <formula>0</formula>
    </cfRule>
    <cfRule type="cellIs" dxfId="1139" priority="466" operator="notEqual">
      <formula>0</formula>
    </cfRule>
  </conditionalFormatting>
  <conditionalFormatting sqref="O59">
    <cfRule type="cellIs" dxfId="1138" priority="463" operator="equal">
      <formula>0</formula>
    </cfRule>
    <cfRule type="cellIs" dxfId="1137" priority="464" operator="notEqual">
      <formula>0</formula>
    </cfRule>
  </conditionalFormatting>
  <conditionalFormatting sqref="P59">
    <cfRule type="cellIs" dxfId="1136" priority="461" operator="equal">
      <formula>0</formula>
    </cfRule>
    <cfRule type="cellIs" dxfId="1135" priority="462" operator="notEqual">
      <formula>0</formula>
    </cfRule>
  </conditionalFormatting>
  <conditionalFormatting sqref="Q59">
    <cfRule type="cellIs" dxfId="1134" priority="459" operator="equal">
      <formula>0</formula>
    </cfRule>
    <cfRule type="cellIs" dxfId="1133" priority="460" operator="notEqual">
      <formula>0</formula>
    </cfRule>
  </conditionalFormatting>
  <conditionalFormatting sqref="R59">
    <cfRule type="cellIs" dxfId="1132" priority="457" operator="equal">
      <formula>0</formula>
    </cfRule>
    <cfRule type="cellIs" dxfId="1131" priority="458" operator="notEqual">
      <formula>0</formula>
    </cfRule>
  </conditionalFormatting>
  <conditionalFormatting sqref="C67:C68">
    <cfRule type="cellIs" dxfId="1130" priority="455" operator="equal">
      <formula>0</formula>
    </cfRule>
    <cfRule type="cellIs" dxfId="1129" priority="456" operator="notEqual">
      <formula>0</formula>
    </cfRule>
  </conditionalFormatting>
  <conditionalFormatting sqref="D67:D68">
    <cfRule type="cellIs" dxfId="1128" priority="453" operator="equal">
      <formula>0</formula>
    </cfRule>
    <cfRule type="cellIs" dxfId="1127" priority="454" operator="notEqual">
      <formula>0</formula>
    </cfRule>
  </conditionalFormatting>
  <conditionalFormatting sqref="E67:E68">
    <cfRule type="cellIs" dxfId="1126" priority="451" operator="equal">
      <formula>0</formula>
    </cfRule>
    <cfRule type="cellIs" dxfId="1125" priority="452" operator="notEqual">
      <formula>0</formula>
    </cfRule>
  </conditionalFormatting>
  <conditionalFormatting sqref="F67:F68">
    <cfRule type="cellIs" dxfId="1124" priority="449" operator="equal">
      <formula>0</formula>
    </cfRule>
    <cfRule type="cellIs" dxfId="1123" priority="450" operator="notEqual">
      <formula>0</formula>
    </cfRule>
  </conditionalFormatting>
  <conditionalFormatting sqref="G67:G68">
    <cfRule type="cellIs" dxfId="1122" priority="447" operator="equal">
      <formula>0</formula>
    </cfRule>
    <cfRule type="cellIs" dxfId="1121" priority="448" operator="notEqual">
      <formula>0</formula>
    </cfRule>
  </conditionalFormatting>
  <conditionalFormatting sqref="H67:H68">
    <cfRule type="cellIs" dxfId="1120" priority="445" operator="equal">
      <formula>0</formula>
    </cfRule>
    <cfRule type="cellIs" dxfId="1119" priority="446" operator="notEqual">
      <formula>0</formula>
    </cfRule>
  </conditionalFormatting>
  <conditionalFormatting sqref="I67:I68">
    <cfRule type="cellIs" dxfId="1118" priority="443" operator="equal">
      <formula>0</formula>
    </cfRule>
    <cfRule type="cellIs" dxfId="1117" priority="444" operator="notEqual">
      <formula>0</formula>
    </cfRule>
  </conditionalFormatting>
  <conditionalFormatting sqref="J67:J68">
    <cfRule type="cellIs" dxfId="1116" priority="441" operator="equal">
      <formula>0</formula>
    </cfRule>
    <cfRule type="cellIs" dxfId="1115" priority="442" operator="notEqual">
      <formula>0</formula>
    </cfRule>
  </conditionalFormatting>
  <conditionalFormatting sqref="O66">
    <cfRule type="cellIs" dxfId="1114" priority="439" operator="equal">
      <formula>0</formula>
    </cfRule>
    <cfRule type="cellIs" dxfId="1113" priority="440" operator="notEqual">
      <formula>0</formula>
    </cfRule>
  </conditionalFormatting>
  <conditionalFormatting sqref="P66">
    <cfRule type="cellIs" dxfId="1112" priority="437" operator="equal">
      <formula>0</formula>
    </cfRule>
    <cfRule type="cellIs" dxfId="1111" priority="438" operator="notEqual">
      <formula>0</formula>
    </cfRule>
  </conditionalFormatting>
  <conditionalFormatting sqref="Q66">
    <cfRule type="cellIs" dxfId="1110" priority="435" operator="equal">
      <formula>0</formula>
    </cfRule>
    <cfRule type="cellIs" dxfId="1109" priority="436" operator="notEqual">
      <formula>0</formula>
    </cfRule>
  </conditionalFormatting>
  <conditionalFormatting sqref="R66">
    <cfRule type="cellIs" dxfId="1108" priority="433" operator="equal">
      <formula>0</formula>
    </cfRule>
    <cfRule type="cellIs" dxfId="1107" priority="434" operator="notEqual">
      <formula>0</formula>
    </cfRule>
  </conditionalFormatting>
  <conditionalFormatting sqref="C74:C75">
    <cfRule type="cellIs" dxfId="1106" priority="431" operator="equal">
      <formula>0</formula>
    </cfRule>
    <cfRule type="cellIs" dxfId="1105" priority="432" operator="notEqual">
      <formula>0</formula>
    </cfRule>
  </conditionalFormatting>
  <conditionalFormatting sqref="D74:D75">
    <cfRule type="cellIs" dxfId="1104" priority="429" operator="equal">
      <formula>0</formula>
    </cfRule>
    <cfRule type="cellIs" dxfId="1103" priority="430" operator="notEqual">
      <formula>0</formula>
    </cfRule>
  </conditionalFormatting>
  <conditionalFormatting sqref="E74:E75">
    <cfRule type="cellIs" dxfId="1102" priority="427" operator="equal">
      <formula>0</formula>
    </cfRule>
    <cfRule type="cellIs" dxfId="1101" priority="428" operator="notEqual">
      <formula>0</formula>
    </cfRule>
  </conditionalFormatting>
  <conditionalFormatting sqref="F74:F75">
    <cfRule type="cellIs" dxfId="1100" priority="425" operator="equal">
      <formula>0</formula>
    </cfRule>
    <cfRule type="cellIs" dxfId="1099" priority="426" operator="notEqual">
      <formula>0</formula>
    </cfRule>
  </conditionalFormatting>
  <conditionalFormatting sqref="G74:G75">
    <cfRule type="cellIs" dxfId="1098" priority="423" operator="equal">
      <formula>0</formula>
    </cfRule>
    <cfRule type="cellIs" dxfId="1097" priority="424" operator="notEqual">
      <formula>0</formula>
    </cfRule>
  </conditionalFormatting>
  <conditionalFormatting sqref="H74:H75">
    <cfRule type="cellIs" dxfId="1096" priority="421" operator="equal">
      <formula>0</formula>
    </cfRule>
    <cfRule type="cellIs" dxfId="1095" priority="422" operator="notEqual">
      <formula>0</formula>
    </cfRule>
  </conditionalFormatting>
  <conditionalFormatting sqref="I74:I75">
    <cfRule type="cellIs" dxfId="1094" priority="419" operator="equal">
      <formula>0</formula>
    </cfRule>
    <cfRule type="cellIs" dxfId="1093" priority="420" operator="notEqual">
      <formula>0</formula>
    </cfRule>
  </conditionalFormatting>
  <conditionalFormatting sqref="J74:J75">
    <cfRule type="cellIs" dxfId="1092" priority="417" operator="equal">
      <formula>0</formula>
    </cfRule>
    <cfRule type="cellIs" dxfId="1091" priority="418" operator="notEqual">
      <formula>0</formula>
    </cfRule>
  </conditionalFormatting>
  <conditionalFormatting sqref="O73">
    <cfRule type="cellIs" dxfId="1090" priority="415" operator="equal">
      <formula>0</formula>
    </cfRule>
    <cfRule type="cellIs" dxfId="1089" priority="416" operator="notEqual">
      <formula>0</formula>
    </cfRule>
  </conditionalFormatting>
  <conditionalFormatting sqref="P73">
    <cfRule type="cellIs" dxfId="1088" priority="413" operator="equal">
      <formula>0</formula>
    </cfRule>
    <cfRule type="cellIs" dxfId="1087" priority="414" operator="notEqual">
      <formula>0</formula>
    </cfRule>
  </conditionalFormatting>
  <conditionalFormatting sqref="Q73">
    <cfRule type="cellIs" dxfId="1086" priority="411" operator="equal">
      <formula>0</formula>
    </cfRule>
    <cfRule type="cellIs" dxfId="1085" priority="412" operator="notEqual">
      <formula>0</formula>
    </cfRule>
  </conditionalFormatting>
  <conditionalFormatting sqref="R73">
    <cfRule type="cellIs" dxfId="1084" priority="409" operator="equal">
      <formula>0</formula>
    </cfRule>
    <cfRule type="cellIs" dxfId="1083" priority="410" operator="notEqual">
      <formula>0</formula>
    </cfRule>
  </conditionalFormatting>
  <conditionalFormatting sqref="U67:U68">
    <cfRule type="cellIs" dxfId="1082" priority="407" operator="equal">
      <formula>0</formula>
    </cfRule>
    <cfRule type="cellIs" dxfId="1081" priority="408" operator="notEqual">
      <formula>0</formula>
    </cfRule>
  </conditionalFormatting>
  <conditionalFormatting sqref="V67:V68">
    <cfRule type="cellIs" dxfId="1080" priority="405" operator="equal">
      <formula>0</formula>
    </cfRule>
    <cfRule type="cellIs" dxfId="1079" priority="406" operator="notEqual">
      <formula>0</formula>
    </cfRule>
  </conditionalFormatting>
  <conditionalFormatting sqref="W67:W68">
    <cfRule type="cellIs" dxfId="1078" priority="403" operator="equal">
      <formula>0</formula>
    </cfRule>
    <cfRule type="cellIs" dxfId="1077" priority="404" operator="notEqual">
      <formula>0</formula>
    </cfRule>
  </conditionalFormatting>
  <conditionalFormatting sqref="X67:X68">
    <cfRule type="cellIs" dxfId="1076" priority="401" operator="equal">
      <formula>0</formula>
    </cfRule>
    <cfRule type="cellIs" dxfId="1075" priority="402" operator="notEqual">
      <formula>0</formula>
    </cfRule>
  </conditionalFormatting>
  <conditionalFormatting sqref="Y67:Y68">
    <cfRule type="cellIs" dxfId="1074" priority="399" operator="equal">
      <formula>0</formula>
    </cfRule>
    <cfRule type="cellIs" dxfId="1073" priority="400" operator="notEqual">
      <formula>0</formula>
    </cfRule>
  </conditionalFormatting>
  <conditionalFormatting sqref="Z67:Z68">
    <cfRule type="cellIs" dxfId="1072" priority="397" operator="equal">
      <formula>0</formula>
    </cfRule>
    <cfRule type="cellIs" dxfId="1071" priority="398" operator="notEqual">
      <formula>0</formula>
    </cfRule>
  </conditionalFormatting>
  <conditionalFormatting sqref="AA67:AA68">
    <cfRule type="cellIs" dxfId="1070" priority="395" operator="equal">
      <formula>0</formula>
    </cfRule>
    <cfRule type="cellIs" dxfId="1069" priority="396" operator="notEqual">
      <formula>0</formula>
    </cfRule>
  </conditionalFormatting>
  <conditionalFormatting sqref="AB67:AB68">
    <cfRule type="cellIs" dxfId="1068" priority="393" operator="equal">
      <formula>0</formula>
    </cfRule>
    <cfRule type="cellIs" dxfId="1067" priority="394" operator="notEqual">
      <formula>0</formula>
    </cfRule>
  </conditionalFormatting>
  <conditionalFormatting sqref="AG66">
    <cfRule type="cellIs" dxfId="1066" priority="391" operator="equal">
      <formula>0</formula>
    </cfRule>
    <cfRule type="cellIs" dxfId="1065" priority="392" operator="notEqual">
      <formula>0</formula>
    </cfRule>
  </conditionalFormatting>
  <conditionalFormatting sqref="AH66">
    <cfRule type="cellIs" dxfId="1064" priority="389" operator="equal">
      <formula>0</formula>
    </cfRule>
    <cfRule type="cellIs" dxfId="1063" priority="390" operator="notEqual">
      <formula>0</formula>
    </cfRule>
  </conditionalFormatting>
  <conditionalFormatting sqref="AI66">
    <cfRule type="cellIs" dxfId="1062" priority="387" operator="equal">
      <formula>0</formula>
    </cfRule>
    <cfRule type="cellIs" dxfId="1061" priority="388" operator="notEqual">
      <formula>0</formula>
    </cfRule>
  </conditionalFormatting>
  <conditionalFormatting sqref="AJ66">
    <cfRule type="cellIs" dxfId="1060" priority="385" operator="equal">
      <formula>0</formula>
    </cfRule>
    <cfRule type="cellIs" dxfId="1059" priority="386" operator="notEqual">
      <formula>0</formula>
    </cfRule>
  </conditionalFormatting>
  <conditionalFormatting sqref="U60:U61">
    <cfRule type="cellIs" dxfId="1058" priority="383" operator="equal">
      <formula>0</formula>
    </cfRule>
    <cfRule type="cellIs" dxfId="1057" priority="384" operator="notEqual">
      <formula>0</formula>
    </cfRule>
  </conditionalFormatting>
  <conditionalFormatting sqref="V60:V61">
    <cfRule type="cellIs" dxfId="1056" priority="381" operator="equal">
      <formula>0</formula>
    </cfRule>
    <cfRule type="cellIs" dxfId="1055" priority="382" operator="notEqual">
      <formula>0</formula>
    </cfRule>
  </conditionalFormatting>
  <conditionalFormatting sqref="W60:W61">
    <cfRule type="cellIs" dxfId="1054" priority="379" operator="equal">
      <formula>0</formula>
    </cfRule>
    <cfRule type="cellIs" dxfId="1053" priority="380" operator="notEqual">
      <formula>0</formula>
    </cfRule>
  </conditionalFormatting>
  <conditionalFormatting sqref="X60:X61">
    <cfRule type="cellIs" dxfId="1052" priority="377" operator="equal">
      <formula>0</formula>
    </cfRule>
    <cfRule type="cellIs" dxfId="1051" priority="378" operator="notEqual">
      <formula>0</formula>
    </cfRule>
  </conditionalFormatting>
  <conditionalFormatting sqref="Y60:Y61">
    <cfRule type="cellIs" dxfId="1050" priority="375" operator="equal">
      <formula>0</formula>
    </cfRule>
    <cfRule type="cellIs" dxfId="1049" priority="376" operator="notEqual">
      <formula>0</formula>
    </cfRule>
  </conditionalFormatting>
  <conditionalFormatting sqref="Z60:Z61">
    <cfRule type="cellIs" dxfId="1048" priority="373" operator="equal">
      <formula>0</formula>
    </cfRule>
    <cfRule type="cellIs" dxfId="1047" priority="374" operator="notEqual">
      <formula>0</formula>
    </cfRule>
  </conditionalFormatting>
  <conditionalFormatting sqref="AA60:AA61">
    <cfRule type="cellIs" dxfId="1046" priority="371" operator="equal">
      <formula>0</formula>
    </cfRule>
    <cfRule type="cellIs" dxfId="1045" priority="372" operator="notEqual">
      <formula>0</formula>
    </cfRule>
  </conditionalFormatting>
  <conditionalFormatting sqref="AB60:AB61">
    <cfRule type="cellIs" dxfId="1044" priority="369" operator="equal">
      <formula>0</formula>
    </cfRule>
    <cfRule type="cellIs" dxfId="1043" priority="370" operator="notEqual">
      <formula>0</formula>
    </cfRule>
  </conditionalFormatting>
  <conditionalFormatting sqref="AG59">
    <cfRule type="cellIs" dxfId="1042" priority="367" operator="equal">
      <formula>0</formula>
    </cfRule>
    <cfRule type="cellIs" dxfId="1041" priority="368" operator="notEqual">
      <formula>0</formula>
    </cfRule>
  </conditionalFormatting>
  <conditionalFormatting sqref="AH59">
    <cfRule type="cellIs" dxfId="1040" priority="365" operator="equal">
      <formula>0</formula>
    </cfRule>
    <cfRule type="cellIs" dxfId="1039" priority="366" operator="notEqual">
      <formula>0</formula>
    </cfRule>
  </conditionalFormatting>
  <conditionalFormatting sqref="AI59">
    <cfRule type="cellIs" dxfId="1038" priority="363" operator="equal">
      <formula>0</formula>
    </cfRule>
    <cfRule type="cellIs" dxfId="1037" priority="364" operator="notEqual">
      <formula>0</formula>
    </cfRule>
  </conditionalFormatting>
  <conditionalFormatting sqref="AJ59">
    <cfRule type="cellIs" dxfId="1036" priority="361" operator="equal">
      <formula>0</formula>
    </cfRule>
    <cfRule type="cellIs" dxfId="1035" priority="362" operator="notEqual">
      <formula>0</formula>
    </cfRule>
  </conditionalFormatting>
  <conditionalFormatting sqref="U53:U54">
    <cfRule type="cellIs" dxfId="1034" priority="359" operator="equal">
      <formula>0</formula>
    </cfRule>
    <cfRule type="cellIs" dxfId="1033" priority="360" operator="notEqual">
      <formula>0</formula>
    </cfRule>
  </conditionalFormatting>
  <conditionalFormatting sqref="V53:V54">
    <cfRule type="cellIs" dxfId="1032" priority="357" operator="equal">
      <formula>0</formula>
    </cfRule>
    <cfRule type="cellIs" dxfId="1031" priority="358" operator="notEqual">
      <formula>0</formula>
    </cfRule>
  </conditionalFormatting>
  <conditionalFormatting sqref="W53:W54">
    <cfRule type="cellIs" dxfId="1030" priority="355" operator="equal">
      <formula>0</formula>
    </cfRule>
    <cfRule type="cellIs" dxfId="1029" priority="356" operator="notEqual">
      <formula>0</formula>
    </cfRule>
  </conditionalFormatting>
  <conditionalFormatting sqref="X53:X54">
    <cfRule type="cellIs" dxfId="1028" priority="353" operator="equal">
      <formula>0</formula>
    </cfRule>
    <cfRule type="cellIs" dxfId="1027" priority="354" operator="notEqual">
      <formula>0</formula>
    </cfRule>
  </conditionalFormatting>
  <conditionalFormatting sqref="Y53:Y54">
    <cfRule type="cellIs" dxfId="1026" priority="351" operator="equal">
      <formula>0</formula>
    </cfRule>
    <cfRule type="cellIs" dxfId="1025" priority="352" operator="notEqual">
      <formula>0</formula>
    </cfRule>
  </conditionalFormatting>
  <conditionalFormatting sqref="Z53:Z54">
    <cfRule type="cellIs" dxfId="1024" priority="349" operator="equal">
      <formula>0</formula>
    </cfRule>
    <cfRule type="cellIs" dxfId="1023" priority="350" operator="notEqual">
      <formula>0</formula>
    </cfRule>
  </conditionalFormatting>
  <conditionalFormatting sqref="AA53:AA54">
    <cfRule type="cellIs" dxfId="1022" priority="347" operator="equal">
      <formula>0</formula>
    </cfRule>
    <cfRule type="cellIs" dxfId="1021" priority="348" operator="notEqual">
      <formula>0</formula>
    </cfRule>
  </conditionalFormatting>
  <conditionalFormatting sqref="AB53:AB54">
    <cfRule type="cellIs" dxfId="1020" priority="345" operator="equal">
      <formula>0</formula>
    </cfRule>
    <cfRule type="cellIs" dxfId="1019" priority="346" operator="notEqual">
      <formula>0</formula>
    </cfRule>
  </conditionalFormatting>
  <conditionalFormatting sqref="AG52">
    <cfRule type="cellIs" dxfId="1018" priority="343" operator="equal">
      <formula>0</formula>
    </cfRule>
    <cfRule type="cellIs" dxfId="1017" priority="344" operator="notEqual">
      <formula>0</formula>
    </cfRule>
  </conditionalFormatting>
  <conditionalFormatting sqref="AH52">
    <cfRule type="cellIs" dxfId="1016" priority="341" operator="equal">
      <formula>0</formula>
    </cfRule>
    <cfRule type="cellIs" dxfId="1015" priority="342" operator="notEqual">
      <formula>0</formula>
    </cfRule>
  </conditionalFormatting>
  <conditionalFormatting sqref="AI52">
    <cfRule type="cellIs" dxfId="1014" priority="339" operator="equal">
      <formula>0</formula>
    </cfRule>
    <cfRule type="cellIs" dxfId="1013" priority="340" operator="notEqual">
      <formula>0</formula>
    </cfRule>
  </conditionalFormatting>
  <conditionalFormatting sqref="AJ52">
    <cfRule type="cellIs" dxfId="1012" priority="337" operator="equal">
      <formula>0</formula>
    </cfRule>
    <cfRule type="cellIs" dxfId="1011" priority="338" operator="notEqual">
      <formula>0</formula>
    </cfRule>
  </conditionalFormatting>
  <conditionalFormatting sqref="U46:U47">
    <cfRule type="cellIs" dxfId="1010" priority="335" operator="equal">
      <formula>0</formula>
    </cfRule>
    <cfRule type="cellIs" dxfId="1009" priority="336" operator="notEqual">
      <formula>0</formula>
    </cfRule>
  </conditionalFormatting>
  <conditionalFormatting sqref="V46:V47">
    <cfRule type="cellIs" dxfId="1008" priority="333" operator="equal">
      <formula>0</formula>
    </cfRule>
    <cfRule type="cellIs" dxfId="1007" priority="334" operator="notEqual">
      <formula>0</formula>
    </cfRule>
  </conditionalFormatting>
  <conditionalFormatting sqref="W46:W47">
    <cfRule type="cellIs" dxfId="1006" priority="331" operator="equal">
      <formula>0</formula>
    </cfRule>
    <cfRule type="cellIs" dxfId="1005" priority="332" operator="notEqual">
      <formula>0</formula>
    </cfRule>
  </conditionalFormatting>
  <conditionalFormatting sqref="X46:X47">
    <cfRule type="cellIs" dxfId="1004" priority="329" operator="equal">
      <formula>0</formula>
    </cfRule>
    <cfRule type="cellIs" dxfId="1003" priority="330" operator="notEqual">
      <formula>0</formula>
    </cfRule>
  </conditionalFormatting>
  <conditionalFormatting sqref="Y46:Y47">
    <cfRule type="cellIs" dxfId="1002" priority="327" operator="equal">
      <formula>0</formula>
    </cfRule>
    <cfRule type="cellIs" dxfId="1001" priority="328" operator="notEqual">
      <formula>0</formula>
    </cfRule>
  </conditionalFormatting>
  <conditionalFormatting sqref="Z46:Z47">
    <cfRule type="cellIs" dxfId="1000" priority="325" operator="equal">
      <formula>0</formula>
    </cfRule>
    <cfRule type="cellIs" dxfId="999" priority="326" operator="notEqual">
      <formula>0</formula>
    </cfRule>
  </conditionalFormatting>
  <conditionalFormatting sqref="AA46:AA47">
    <cfRule type="cellIs" dxfId="998" priority="323" operator="equal">
      <formula>0</formula>
    </cfRule>
    <cfRule type="cellIs" dxfId="997" priority="324" operator="notEqual">
      <formula>0</formula>
    </cfRule>
  </conditionalFormatting>
  <conditionalFormatting sqref="AB46:AB47">
    <cfRule type="cellIs" dxfId="996" priority="321" operator="equal">
      <formula>0</formula>
    </cfRule>
    <cfRule type="cellIs" dxfId="995" priority="322" operator="notEqual">
      <formula>0</formula>
    </cfRule>
  </conditionalFormatting>
  <conditionalFormatting sqref="AG45">
    <cfRule type="cellIs" dxfId="994" priority="319" operator="equal">
      <formula>0</formula>
    </cfRule>
    <cfRule type="cellIs" dxfId="993" priority="320" operator="notEqual">
      <formula>0</formula>
    </cfRule>
  </conditionalFormatting>
  <conditionalFormatting sqref="AH45">
    <cfRule type="cellIs" dxfId="992" priority="317" operator="equal">
      <formula>0</formula>
    </cfRule>
    <cfRule type="cellIs" dxfId="991" priority="318" operator="notEqual">
      <formula>0</formula>
    </cfRule>
  </conditionalFormatting>
  <conditionalFormatting sqref="AI45">
    <cfRule type="cellIs" dxfId="990" priority="315" operator="equal">
      <formula>0</formula>
    </cfRule>
    <cfRule type="cellIs" dxfId="989" priority="316" operator="notEqual">
      <formula>0</formula>
    </cfRule>
  </conditionalFormatting>
  <conditionalFormatting sqref="AJ45">
    <cfRule type="cellIs" dxfId="988" priority="313" operator="equal">
      <formula>0</formula>
    </cfRule>
    <cfRule type="cellIs" dxfId="987" priority="314" operator="notEqual">
      <formula>0</formula>
    </cfRule>
  </conditionalFormatting>
  <conditionalFormatting sqref="U39:U40">
    <cfRule type="cellIs" dxfId="986" priority="311" operator="equal">
      <formula>0</formula>
    </cfRule>
    <cfRule type="cellIs" dxfId="985" priority="312" operator="notEqual">
      <formula>0</formula>
    </cfRule>
  </conditionalFormatting>
  <conditionalFormatting sqref="V39:V40">
    <cfRule type="cellIs" dxfId="984" priority="309" operator="equal">
      <formula>0</formula>
    </cfRule>
    <cfRule type="cellIs" dxfId="983" priority="310" operator="notEqual">
      <formula>0</formula>
    </cfRule>
  </conditionalFormatting>
  <conditionalFormatting sqref="W39:W40">
    <cfRule type="cellIs" dxfId="982" priority="307" operator="equal">
      <formula>0</formula>
    </cfRule>
    <cfRule type="cellIs" dxfId="981" priority="308" operator="notEqual">
      <formula>0</formula>
    </cfRule>
  </conditionalFormatting>
  <conditionalFormatting sqref="X39:X40">
    <cfRule type="cellIs" dxfId="980" priority="305" operator="equal">
      <formula>0</formula>
    </cfRule>
    <cfRule type="cellIs" dxfId="979" priority="306" operator="notEqual">
      <formula>0</formula>
    </cfRule>
  </conditionalFormatting>
  <conditionalFormatting sqref="Y39:Y40">
    <cfRule type="cellIs" dxfId="978" priority="303" operator="equal">
      <formula>0</formula>
    </cfRule>
    <cfRule type="cellIs" dxfId="977" priority="304" operator="notEqual">
      <formula>0</formula>
    </cfRule>
  </conditionalFormatting>
  <conditionalFormatting sqref="Z39:Z40">
    <cfRule type="cellIs" dxfId="976" priority="301" operator="equal">
      <formula>0</formula>
    </cfRule>
    <cfRule type="cellIs" dxfId="975" priority="302" operator="notEqual">
      <formula>0</formula>
    </cfRule>
  </conditionalFormatting>
  <conditionalFormatting sqref="AA39:AA40">
    <cfRule type="cellIs" dxfId="974" priority="299" operator="equal">
      <formula>0</formula>
    </cfRule>
    <cfRule type="cellIs" dxfId="973" priority="300" operator="notEqual">
      <formula>0</formula>
    </cfRule>
  </conditionalFormatting>
  <conditionalFormatting sqref="AB39:AB40">
    <cfRule type="cellIs" dxfId="972" priority="297" operator="equal">
      <formula>0</formula>
    </cfRule>
    <cfRule type="cellIs" dxfId="971" priority="298" operator="notEqual">
      <formula>0</formula>
    </cfRule>
  </conditionalFormatting>
  <conditionalFormatting sqref="AG38">
    <cfRule type="cellIs" dxfId="970" priority="295" operator="equal">
      <formula>0</formula>
    </cfRule>
    <cfRule type="cellIs" dxfId="969" priority="296" operator="notEqual">
      <formula>0</formula>
    </cfRule>
  </conditionalFormatting>
  <conditionalFormatting sqref="AH38">
    <cfRule type="cellIs" dxfId="968" priority="293" operator="equal">
      <formula>0</formula>
    </cfRule>
    <cfRule type="cellIs" dxfId="967" priority="294" operator="notEqual">
      <formula>0</formula>
    </cfRule>
  </conditionalFormatting>
  <conditionalFormatting sqref="AI38">
    <cfRule type="cellIs" dxfId="966" priority="291" operator="equal">
      <formula>0</formula>
    </cfRule>
    <cfRule type="cellIs" dxfId="965" priority="292" operator="notEqual">
      <formula>0</formula>
    </cfRule>
  </conditionalFormatting>
  <conditionalFormatting sqref="AJ38">
    <cfRule type="cellIs" dxfId="964" priority="289" operator="equal">
      <formula>0</formula>
    </cfRule>
    <cfRule type="cellIs" dxfId="963" priority="290" operator="notEqual">
      <formula>0</formula>
    </cfRule>
  </conditionalFormatting>
  <conditionalFormatting sqref="U32:U33">
    <cfRule type="cellIs" dxfId="962" priority="287" operator="equal">
      <formula>0</formula>
    </cfRule>
    <cfRule type="cellIs" dxfId="961" priority="288" operator="notEqual">
      <formula>0</formula>
    </cfRule>
  </conditionalFormatting>
  <conditionalFormatting sqref="V32:V33">
    <cfRule type="cellIs" dxfId="960" priority="285" operator="equal">
      <formula>0</formula>
    </cfRule>
    <cfRule type="cellIs" dxfId="959" priority="286" operator="notEqual">
      <formula>0</formula>
    </cfRule>
  </conditionalFormatting>
  <conditionalFormatting sqref="W32:W33">
    <cfRule type="cellIs" dxfId="958" priority="283" operator="equal">
      <formula>0</formula>
    </cfRule>
    <cfRule type="cellIs" dxfId="957" priority="284" operator="notEqual">
      <formula>0</formula>
    </cfRule>
  </conditionalFormatting>
  <conditionalFormatting sqref="X32:X33">
    <cfRule type="cellIs" dxfId="956" priority="281" operator="equal">
      <formula>0</formula>
    </cfRule>
    <cfRule type="cellIs" dxfId="955" priority="282" operator="notEqual">
      <formula>0</formula>
    </cfRule>
  </conditionalFormatting>
  <conditionalFormatting sqref="Y32:Y33">
    <cfRule type="cellIs" dxfId="954" priority="279" operator="equal">
      <formula>0</formula>
    </cfRule>
    <cfRule type="cellIs" dxfId="953" priority="280" operator="notEqual">
      <formula>0</formula>
    </cfRule>
  </conditionalFormatting>
  <conditionalFormatting sqref="Z32:Z33">
    <cfRule type="cellIs" dxfId="952" priority="277" operator="equal">
      <formula>0</formula>
    </cfRule>
    <cfRule type="cellIs" dxfId="951" priority="278" operator="notEqual">
      <formula>0</formula>
    </cfRule>
  </conditionalFormatting>
  <conditionalFormatting sqref="AA32:AA33">
    <cfRule type="cellIs" dxfId="950" priority="275" operator="equal">
      <formula>0</formula>
    </cfRule>
    <cfRule type="cellIs" dxfId="949" priority="276" operator="notEqual">
      <formula>0</formula>
    </cfRule>
  </conditionalFormatting>
  <conditionalFormatting sqref="AB32:AB33">
    <cfRule type="cellIs" dxfId="948" priority="273" operator="equal">
      <formula>0</formula>
    </cfRule>
    <cfRule type="cellIs" dxfId="947" priority="274" operator="notEqual">
      <formula>0</formula>
    </cfRule>
  </conditionalFormatting>
  <conditionalFormatting sqref="AG31">
    <cfRule type="cellIs" dxfId="946" priority="271" operator="equal">
      <formula>0</formula>
    </cfRule>
    <cfRule type="cellIs" dxfId="945" priority="272" operator="notEqual">
      <formula>0</formula>
    </cfRule>
  </conditionalFormatting>
  <conditionalFormatting sqref="AH31">
    <cfRule type="cellIs" dxfId="944" priority="269" operator="equal">
      <formula>0</formula>
    </cfRule>
    <cfRule type="cellIs" dxfId="943" priority="270" operator="notEqual">
      <formula>0</formula>
    </cfRule>
  </conditionalFormatting>
  <conditionalFormatting sqref="AI31">
    <cfRule type="cellIs" dxfId="942" priority="267" operator="equal">
      <formula>0</formula>
    </cfRule>
    <cfRule type="cellIs" dxfId="941" priority="268" operator="notEqual">
      <formula>0</formula>
    </cfRule>
  </conditionalFormatting>
  <conditionalFormatting sqref="AJ31">
    <cfRule type="cellIs" dxfId="940" priority="265" operator="equal">
      <formula>0</formula>
    </cfRule>
    <cfRule type="cellIs" dxfId="939" priority="266" operator="notEqual">
      <formula>0</formula>
    </cfRule>
  </conditionalFormatting>
  <conditionalFormatting sqref="U25:U26">
    <cfRule type="cellIs" dxfId="938" priority="263" operator="equal">
      <formula>0</formula>
    </cfRule>
    <cfRule type="cellIs" dxfId="937" priority="264" operator="notEqual">
      <formula>0</formula>
    </cfRule>
  </conditionalFormatting>
  <conditionalFormatting sqref="V25:V26">
    <cfRule type="cellIs" dxfId="936" priority="261" operator="equal">
      <formula>0</formula>
    </cfRule>
    <cfRule type="cellIs" dxfId="935" priority="262" operator="notEqual">
      <formula>0</formula>
    </cfRule>
  </conditionalFormatting>
  <conditionalFormatting sqref="W25:W26">
    <cfRule type="cellIs" dxfId="934" priority="259" operator="equal">
      <formula>0</formula>
    </cfRule>
    <cfRule type="cellIs" dxfId="933" priority="260" operator="notEqual">
      <formula>0</formula>
    </cfRule>
  </conditionalFormatting>
  <conditionalFormatting sqref="X25:X26">
    <cfRule type="cellIs" dxfId="932" priority="257" operator="equal">
      <formula>0</formula>
    </cfRule>
    <cfRule type="cellIs" dxfId="931" priority="258" operator="notEqual">
      <formula>0</formula>
    </cfRule>
  </conditionalFormatting>
  <conditionalFormatting sqref="Y25:Y26">
    <cfRule type="cellIs" dxfId="930" priority="255" operator="equal">
      <formula>0</formula>
    </cfRule>
    <cfRule type="cellIs" dxfId="929" priority="256" operator="notEqual">
      <formula>0</formula>
    </cfRule>
  </conditionalFormatting>
  <conditionalFormatting sqref="Z25:Z26">
    <cfRule type="cellIs" dxfId="928" priority="253" operator="equal">
      <formula>0</formula>
    </cfRule>
    <cfRule type="cellIs" dxfId="927" priority="254" operator="notEqual">
      <formula>0</formula>
    </cfRule>
  </conditionalFormatting>
  <conditionalFormatting sqref="AA25:AA26">
    <cfRule type="cellIs" dxfId="926" priority="251" operator="equal">
      <formula>0</formula>
    </cfRule>
    <cfRule type="cellIs" dxfId="925" priority="252" operator="notEqual">
      <formula>0</formula>
    </cfRule>
  </conditionalFormatting>
  <conditionalFormatting sqref="AB25:AB26">
    <cfRule type="cellIs" dxfId="924" priority="249" operator="equal">
      <formula>0</formula>
    </cfRule>
    <cfRule type="cellIs" dxfId="923" priority="250" operator="notEqual">
      <formula>0</formula>
    </cfRule>
  </conditionalFormatting>
  <conditionalFormatting sqref="AG24">
    <cfRule type="cellIs" dxfId="922" priority="247" operator="equal">
      <formula>0</formula>
    </cfRule>
    <cfRule type="cellIs" dxfId="921" priority="248" operator="notEqual">
      <formula>0</formula>
    </cfRule>
  </conditionalFormatting>
  <conditionalFormatting sqref="AH24">
    <cfRule type="cellIs" dxfId="920" priority="245" operator="equal">
      <formula>0</formula>
    </cfRule>
    <cfRule type="cellIs" dxfId="919" priority="246" operator="notEqual">
      <formula>0</formula>
    </cfRule>
  </conditionalFormatting>
  <conditionalFormatting sqref="AI24">
    <cfRule type="cellIs" dxfId="918" priority="243" operator="equal">
      <formula>0</formula>
    </cfRule>
    <cfRule type="cellIs" dxfId="917" priority="244" operator="notEqual">
      <formula>0</formula>
    </cfRule>
  </conditionalFormatting>
  <conditionalFormatting sqref="AJ24">
    <cfRule type="cellIs" dxfId="916" priority="241" operator="equal">
      <formula>0</formula>
    </cfRule>
    <cfRule type="cellIs" dxfId="915" priority="242" operator="notEqual">
      <formula>0</formula>
    </cfRule>
  </conditionalFormatting>
  <conditionalFormatting sqref="U18:U19">
    <cfRule type="cellIs" dxfId="914" priority="239" operator="equal">
      <formula>0</formula>
    </cfRule>
    <cfRule type="cellIs" dxfId="913" priority="240" operator="notEqual">
      <formula>0</formula>
    </cfRule>
  </conditionalFormatting>
  <conditionalFormatting sqref="V18:V19">
    <cfRule type="cellIs" dxfId="912" priority="237" operator="equal">
      <formula>0</formula>
    </cfRule>
    <cfRule type="cellIs" dxfId="911" priority="238" operator="notEqual">
      <formula>0</formula>
    </cfRule>
  </conditionalFormatting>
  <conditionalFormatting sqref="W18:W19">
    <cfRule type="cellIs" dxfId="910" priority="235" operator="equal">
      <formula>0</formula>
    </cfRule>
    <cfRule type="cellIs" dxfId="909" priority="236" operator="notEqual">
      <formula>0</formula>
    </cfRule>
  </conditionalFormatting>
  <conditionalFormatting sqref="X18:X19">
    <cfRule type="cellIs" dxfId="908" priority="233" operator="equal">
      <formula>0</formula>
    </cfRule>
    <cfRule type="cellIs" dxfId="907" priority="234" operator="notEqual">
      <formula>0</formula>
    </cfRule>
  </conditionalFormatting>
  <conditionalFormatting sqref="Y18:Y19">
    <cfRule type="cellIs" dxfId="906" priority="231" operator="equal">
      <formula>0</formula>
    </cfRule>
    <cfRule type="cellIs" dxfId="905" priority="232" operator="notEqual">
      <formula>0</formula>
    </cfRule>
  </conditionalFormatting>
  <conditionalFormatting sqref="Z18:Z19">
    <cfRule type="cellIs" dxfId="904" priority="229" operator="equal">
      <formula>0</formula>
    </cfRule>
    <cfRule type="cellIs" dxfId="903" priority="230" operator="notEqual">
      <formula>0</formula>
    </cfRule>
  </conditionalFormatting>
  <conditionalFormatting sqref="AA18:AA19">
    <cfRule type="cellIs" dxfId="902" priority="227" operator="equal">
      <formula>0</formula>
    </cfRule>
    <cfRule type="cellIs" dxfId="901" priority="228" operator="notEqual">
      <formula>0</formula>
    </cfRule>
  </conditionalFormatting>
  <conditionalFormatting sqref="AB18:AB19">
    <cfRule type="cellIs" dxfId="900" priority="225" operator="equal">
      <formula>0</formula>
    </cfRule>
    <cfRule type="cellIs" dxfId="899" priority="226" operator="notEqual">
      <formula>0</formula>
    </cfRule>
  </conditionalFormatting>
  <conditionalFormatting sqref="AG17">
    <cfRule type="cellIs" dxfId="898" priority="223" operator="equal">
      <formula>0</formula>
    </cfRule>
    <cfRule type="cellIs" dxfId="897" priority="224" operator="notEqual">
      <formula>0</formula>
    </cfRule>
  </conditionalFormatting>
  <conditionalFormatting sqref="AH17">
    <cfRule type="cellIs" dxfId="896" priority="221" operator="equal">
      <formula>0</formula>
    </cfRule>
    <cfRule type="cellIs" dxfId="895" priority="222" operator="notEqual">
      <formula>0</formula>
    </cfRule>
  </conditionalFormatting>
  <conditionalFormatting sqref="AI17">
    <cfRule type="cellIs" dxfId="894" priority="219" operator="equal">
      <formula>0</formula>
    </cfRule>
    <cfRule type="cellIs" dxfId="893" priority="220" operator="notEqual">
      <formula>0</formula>
    </cfRule>
  </conditionalFormatting>
  <conditionalFormatting sqref="AJ17">
    <cfRule type="cellIs" dxfId="892" priority="217" operator="equal">
      <formula>0</formula>
    </cfRule>
    <cfRule type="cellIs" dxfId="891" priority="218" operator="notEqual">
      <formula>0</formula>
    </cfRule>
  </conditionalFormatting>
  <conditionalFormatting sqref="U11:U12">
    <cfRule type="cellIs" dxfId="890" priority="215" operator="equal">
      <formula>0</formula>
    </cfRule>
    <cfRule type="cellIs" dxfId="889" priority="216" operator="notEqual">
      <formula>0</formula>
    </cfRule>
  </conditionalFormatting>
  <conditionalFormatting sqref="V11:V12">
    <cfRule type="cellIs" dxfId="888" priority="213" operator="equal">
      <formula>0</formula>
    </cfRule>
    <cfRule type="cellIs" dxfId="887" priority="214" operator="notEqual">
      <formula>0</formula>
    </cfRule>
  </conditionalFormatting>
  <conditionalFormatting sqref="W11:W12">
    <cfRule type="cellIs" dxfId="886" priority="211" operator="equal">
      <formula>0</formula>
    </cfRule>
    <cfRule type="cellIs" dxfId="885" priority="212" operator="notEqual">
      <formula>0</formula>
    </cfRule>
  </conditionalFormatting>
  <conditionalFormatting sqref="X11:X12">
    <cfRule type="cellIs" dxfId="884" priority="209" operator="equal">
      <formula>0</formula>
    </cfRule>
    <cfRule type="cellIs" dxfId="883" priority="210" operator="notEqual">
      <formula>0</formula>
    </cfRule>
  </conditionalFormatting>
  <conditionalFormatting sqref="Y11:Y12">
    <cfRule type="cellIs" dxfId="882" priority="207" operator="equal">
      <formula>0</formula>
    </cfRule>
    <cfRule type="cellIs" dxfId="881" priority="208" operator="notEqual">
      <formula>0</formula>
    </cfRule>
  </conditionalFormatting>
  <conditionalFormatting sqref="Z11:Z12">
    <cfRule type="cellIs" dxfId="880" priority="205" operator="equal">
      <formula>0</formula>
    </cfRule>
    <cfRule type="cellIs" dxfId="879" priority="206" operator="notEqual">
      <formula>0</formula>
    </cfRule>
  </conditionalFormatting>
  <conditionalFormatting sqref="AA11:AA12">
    <cfRule type="cellIs" dxfId="878" priority="203" operator="equal">
      <formula>0</formula>
    </cfRule>
    <cfRule type="cellIs" dxfId="877" priority="204" operator="notEqual">
      <formula>0</formula>
    </cfRule>
  </conditionalFormatting>
  <conditionalFormatting sqref="AB11:AB12">
    <cfRule type="cellIs" dxfId="876" priority="201" operator="equal">
      <formula>0</formula>
    </cfRule>
    <cfRule type="cellIs" dxfId="875" priority="202" operator="notEqual">
      <formula>0</formula>
    </cfRule>
  </conditionalFormatting>
  <conditionalFormatting sqref="AG10">
    <cfRule type="cellIs" dxfId="874" priority="199" operator="equal">
      <formula>0</formula>
    </cfRule>
    <cfRule type="cellIs" dxfId="873" priority="200" operator="notEqual">
      <formula>0</formula>
    </cfRule>
  </conditionalFormatting>
  <conditionalFormatting sqref="AH10">
    <cfRule type="cellIs" dxfId="872" priority="197" operator="equal">
      <formula>0</formula>
    </cfRule>
    <cfRule type="cellIs" dxfId="871" priority="198" operator="notEqual">
      <formula>0</formula>
    </cfRule>
  </conditionalFormatting>
  <conditionalFormatting sqref="AI10">
    <cfRule type="cellIs" dxfId="870" priority="195" operator="equal">
      <formula>0</formula>
    </cfRule>
    <cfRule type="cellIs" dxfId="869" priority="196" operator="notEqual">
      <formula>0</formula>
    </cfRule>
  </conditionalFormatting>
  <conditionalFormatting sqref="AJ10">
    <cfRule type="cellIs" dxfId="868" priority="193" operator="equal">
      <formula>0</formula>
    </cfRule>
    <cfRule type="cellIs" dxfId="867" priority="194" operator="notEqual">
      <formula>0</formula>
    </cfRule>
  </conditionalFormatting>
  <conditionalFormatting sqref="C81:C82">
    <cfRule type="cellIs" dxfId="866" priority="191" operator="equal">
      <formula>0</formula>
    </cfRule>
    <cfRule type="cellIs" dxfId="865" priority="192" operator="notEqual">
      <formula>0</formula>
    </cfRule>
  </conditionalFormatting>
  <conditionalFormatting sqref="D81:D82">
    <cfRule type="cellIs" dxfId="864" priority="189" operator="equal">
      <formula>0</formula>
    </cfRule>
    <cfRule type="cellIs" dxfId="863" priority="190" operator="notEqual">
      <formula>0</formula>
    </cfRule>
  </conditionalFormatting>
  <conditionalFormatting sqref="E81:E82">
    <cfRule type="cellIs" dxfId="862" priority="187" operator="equal">
      <formula>0</formula>
    </cfRule>
    <cfRule type="cellIs" dxfId="861" priority="188" operator="notEqual">
      <formula>0</formula>
    </cfRule>
  </conditionalFormatting>
  <conditionalFormatting sqref="F81:F82">
    <cfRule type="cellIs" dxfId="860" priority="185" operator="equal">
      <formula>0</formula>
    </cfRule>
    <cfRule type="cellIs" dxfId="859" priority="186" operator="notEqual">
      <formula>0</formula>
    </cfRule>
  </conditionalFormatting>
  <conditionalFormatting sqref="G81:G82">
    <cfRule type="cellIs" dxfId="858" priority="183" operator="equal">
      <formula>0</formula>
    </cfRule>
    <cfRule type="cellIs" dxfId="857" priority="184" operator="notEqual">
      <formula>0</formula>
    </cfRule>
  </conditionalFormatting>
  <conditionalFormatting sqref="H81:H82">
    <cfRule type="cellIs" dxfId="856" priority="181" operator="equal">
      <formula>0</formula>
    </cfRule>
    <cfRule type="cellIs" dxfId="855" priority="182" operator="notEqual">
      <formula>0</formula>
    </cfRule>
  </conditionalFormatting>
  <conditionalFormatting sqref="I81:I82">
    <cfRule type="cellIs" dxfId="854" priority="179" operator="equal">
      <formula>0</formula>
    </cfRule>
    <cfRule type="cellIs" dxfId="853" priority="180" operator="notEqual">
      <formula>0</formula>
    </cfRule>
  </conditionalFormatting>
  <conditionalFormatting sqref="J81:J82">
    <cfRule type="cellIs" dxfId="852" priority="177" operator="equal">
      <formula>0</formula>
    </cfRule>
    <cfRule type="cellIs" dxfId="851" priority="178" operator="notEqual">
      <formula>0</formula>
    </cfRule>
  </conditionalFormatting>
  <conditionalFormatting sqref="O80">
    <cfRule type="cellIs" dxfId="850" priority="175" operator="equal">
      <formula>0</formula>
    </cfRule>
    <cfRule type="cellIs" dxfId="849" priority="176" operator="notEqual">
      <formula>0</formula>
    </cfRule>
  </conditionalFormatting>
  <conditionalFormatting sqref="P80">
    <cfRule type="cellIs" dxfId="848" priority="173" operator="equal">
      <formula>0</formula>
    </cfRule>
    <cfRule type="cellIs" dxfId="847" priority="174" operator="notEqual">
      <formula>0</formula>
    </cfRule>
  </conditionalFormatting>
  <conditionalFormatting sqref="Q80">
    <cfRule type="cellIs" dxfId="846" priority="171" operator="equal">
      <formula>0</formula>
    </cfRule>
    <cfRule type="cellIs" dxfId="845" priority="172" operator="notEqual">
      <formula>0</formula>
    </cfRule>
  </conditionalFormatting>
  <conditionalFormatting sqref="R80">
    <cfRule type="cellIs" dxfId="844" priority="169" operator="equal">
      <formula>0</formula>
    </cfRule>
    <cfRule type="cellIs" dxfId="843" priority="170" operator="notEqual">
      <formula>0</formula>
    </cfRule>
  </conditionalFormatting>
  <conditionalFormatting sqref="C88:C89">
    <cfRule type="cellIs" dxfId="842" priority="167" operator="equal">
      <formula>0</formula>
    </cfRule>
    <cfRule type="cellIs" dxfId="841" priority="168" operator="notEqual">
      <formula>0</formula>
    </cfRule>
  </conditionalFormatting>
  <conditionalFormatting sqref="D88:D89">
    <cfRule type="cellIs" dxfId="840" priority="165" operator="equal">
      <formula>0</formula>
    </cfRule>
    <cfRule type="cellIs" dxfId="839" priority="166" operator="notEqual">
      <formula>0</formula>
    </cfRule>
  </conditionalFormatting>
  <conditionalFormatting sqref="E88:E89">
    <cfRule type="cellIs" dxfId="838" priority="163" operator="equal">
      <formula>0</formula>
    </cfRule>
    <cfRule type="cellIs" dxfId="837" priority="164" operator="notEqual">
      <formula>0</formula>
    </cfRule>
  </conditionalFormatting>
  <conditionalFormatting sqref="F88:F89">
    <cfRule type="cellIs" dxfId="836" priority="161" operator="equal">
      <formula>0</formula>
    </cfRule>
    <cfRule type="cellIs" dxfId="835" priority="162" operator="notEqual">
      <formula>0</formula>
    </cfRule>
  </conditionalFormatting>
  <conditionalFormatting sqref="G88:G89">
    <cfRule type="cellIs" dxfId="834" priority="159" operator="equal">
      <formula>0</formula>
    </cfRule>
    <cfRule type="cellIs" dxfId="833" priority="160" operator="notEqual">
      <formula>0</formula>
    </cfRule>
  </conditionalFormatting>
  <conditionalFormatting sqref="H88:H89">
    <cfRule type="cellIs" dxfId="832" priority="157" operator="equal">
      <formula>0</formula>
    </cfRule>
    <cfRule type="cellIs" dxfId="831" priority="158" operator="notEqual">
      <formula>0</formula>
    </cfRule>
  </conditionalFormatting>
  <conditionalFormatting sqref="I88:I89">
    <cfRule type="cellIs" dxfId="830" priority="155" operator="equal">
      <formula>0</formula>
    </cfRule>
    <cfRule type="cellIs" dxfId="829" priority="156" operator="notEqual">
      <formula>0</formula>
    </cfRule>
  </conditionalFormatting>
  <conditionalFormatting sqref="J88:J89">
    <cfRule type="cellIs" dxfId="828" priority="153" operator="equal">
      <formula>0</formula>
    </cfRule>
    <cfRule type="cellIs" dxfId="827" priority="154" operator="notEqual">
      <formula>0</formula>
    </cfRule>
  </conditionalFormatting>
  <conditionalFormatting sqref="O87">
    <cfRule type="cellIs" dxfId="826" priority="151" operator="equal">
      <formula>0</formula>
    </cfRule>
    <cfRule type="cellIs" dxfId="825" priority="152" operator="notEqual">
      <formula>0</formula>
    </cfRule>
  </conditionalFormatting>
  <conditionalFormatting sqref="P87">
    <cfRule type="cellIs" dxfId="824" priority="149" operator="equal">
      <formula>0</formula>
    </cfRule>
    <cfRule type="cellIs" dxfId="823" priority="150" operator="notEqual">
      <formula>0</formula>
    </cfRule>
  </conditionalFormatting>
  <conditionalFormatting sqref="Q87">
    <cfRule type="cellIs" dxfId="822" priority="147" operator="equal">
      <formula>0</formula>
    </cfRule>
    <cfRule type="cellIs" dxfId="821" priority="148" operator="notEqual">
      <formula>0</formula>
    </cfRule>
  </conditionalFormatting>
  <conditionalFormatting sqref="R87">
    <cfRule type="cellIs" dxfId="820" priority="145" operator="equal">
      <formula>0</formula>
    </cfRule>
    <cfRule type="cellIs" dxfId="819" priority="146" operator="notEqual">
      <formula>0</formula>
    </cfRule>
  </conditionalFormatting>
  <conditionalFormatting sqref="C95:C96">
    <cfRule type="cellIs" dxfId="818" priority="143" operator="equal">
      <formula>0</formula>
    </cfRule>
    <cfRule type="cellIs" dxfId="817" priority="144" operator="notEqual">
      <formula>0</formula>
    </cfRule>
  </conditionalFormatting>
  <conditionalFormatting sqref="D95:D96">
    <cfRule type="cellIs" dxfId="816" priority="141" operator="equal">
      <formula>0</formula>
    </cfRule>
    <cfRule type="cellIs" dxfId="815" priority="142" operator="notEqual">
      <formula>0</formula>
    </cfRule>
  </conditionalFormatting>
  <conditionalFormatting sqref="E95:E96">
    <cfRule type="cellIs" dxfId="814" priority="139" operator="equal">
      <formula>0</formula>
    </cfRule>
    <cfRule type="cellIs" dxfId="813" priority="140" operator="notEqual">
      <formula>0</formula>
    </cfRule>
  </conditionalFormatting>
  <conditionalFormatting sqref="F95:F96">
    <cfRule type="cellIs" dxfId="812" priority="137" operator="equal">
      <formula>0</formula>
    </cfRule>
    <cfRule type="cellIs" dxfId="811" priority="138" operator="notEqual">
      <formula>0</formula>
    </cfRule>
  </conditionalFormatting>
  <conditionalFormatting sqref="G95:G96">
    <cfRule type="cellIs" dxfId="810" priority="135" operator="equal">
      <formula>0</formula>
    </cfRule>
    <cfRule type="cellIs" dxfId="809" priority="136" operator="notEqual">
      <formula>0</formula>
    </cfRule>
  </conditionalFormatting>
  <conditionalFormatting sqref="H95:H96">
    <cfRule type="cellIs" dxfId="808" priority="133" operator="equal">
      <formula>0</formula>
    </cfRule>
    <cfRule type="cellIs" dxfId="807" priority="134" operator="notEqual">
      <formula>0</formula>
    </cfRule>
  </conditionalFormatting>
  <conditionalFormatting sqref="I95:I96">
    <cfRule type="cellIs" dxfId="806" priority="131" operator="equal">
      <formula>0</formula>
    </cfRule>
    <cfRule type="cellIs" dxfId="805" priority="132" operator="notEqual">
      <formula>0</formula>
    </cfRule>
  </conditionalFormatting>
  <conditionalFormatting sqref="J95:J96">
    <cfRule type="cellIs" dxfId="804" priority="129" operator="equal">
      <formula>0</formula>
    </cfRule>
    <cfRule type="cellIs" dxfId="803" priority="130" operator="notEqual">
      <formula>0</formula>
    </cfRule>
  </conditionalFormatting>
  <conditionalFormatting sqref="O94">
    <cfRule type="cellIs" dxfId="802" priority="127" operator="equal">
      <formula>0</formula>
    </cfRule>
    <cfRule type="cellIs" dxfId="801" priority="128" operator="notEqual">
      <formula>0</formula>
    </cfRule>
  </conditionalFormatting>
  <conditionalFormatting sqref="P94">
    <cfRule type="cellIs" dxfId="800" priority="125" operator="equal">
      <formula>0</formula>
    </cfRule>
    <cfRule type="cellIs" dxfId="799" priority="126" operator="notEqual">
      <formula>0</formula>
    </cfRule>
  </conditionalFormatting>
  <conditionalFormatting sqref="Q94">
    <cfRule type="cellIs" dxfId="798" priority="123" operator="equal">
      <formula>0</formula>
    </cfRule>
    <cfRule type="cellIs" dxfId="797" priority="124" operator="notEqual">
      <formula>0</formula>
    </cfRule>
  </conditionalFormatting>
  <conditionalFormatting sqref="R94">
    <cfRule type="cellIs" dxfId="796" priority="121" operator="equal">
      <formula>0</formula>
    </cfRule>
    <cfRule type="cellIs" dxfId="795" priority="122" operator="notEqual">
      <formula>0</formula>
    </cfRule>
  </conditionalFormatting>
  <conditionalFormatting sqref="C102:C103">
    <cfRule type="cellIs" dxfId="794" priority="119" operator="equal">
      <formula>0</formula>
    </cfRule>
    <cfRule type="cellIs" dxfId="793" priority="120" operator="notEqual">
      <formula>0</formula>
    </cfRule>
  </conditionalFormatting>
  <conditionalFormatting sqref="D102:D103">
    <cfRule type="cellIs" dxfId="792" priority="117" operator="equal">
      <formula>0</formula>
    </cfRule>
    <cfRule type="cellIs" dxfId="791" priority="118" operator="notEqual">
      <formula>0</formula>
    </cfRule>
  </conditionalFormatting>
  <conditionalFormatting sqref="E102:E103">
    <cfRule type="cellIs" dxfId="790" priority="115" operator="equal">
      <formula>0</formula>
    </cfRule>
    <cfRule type="cellIs" dxfId="789" priority="116" operator="notEqual">
      <formula>0</formula>
    </cfRule>
  </conditionalFormatting>
  <conditionalFormatting sqref="F102:F103">
    <cfRule type="cellIs" dxfId="788" priority="113" operator="equal">
      <formula>0</formula>
    </cfRule>
    <cfRule type="cellIs" dxfId="787" priority="114" operator="notEqual">
      <formula>0</formula>
    </cfRule>
  </conditionalFormatting>
  <conditionalFormatting sqref="G102:G103">
    <cfRule type="cellIs" dxfId="786" priority="111" operator="equal">
      <formula>0</formula>
    </cfRule>
    <cfRule type="cellIs" dxfId="785" priority="112" operator="notEqual">
      <formula>0</formula>
    </cfRule>
  </conditionalFormatting>
  <conditionalFormatting sqref="H102:H103">
    <cfRule type="cellIs" dxfId="784" priority="109" operator="equal">
      <formula>0</formula>
    </cfRule>
    <cfRule type="cellIs" dxfId="783" priority="110" operator="notEqual">
      <formula>0</formula>
    </cfRule>
  </conditionalFormatting>
  <conditionalFormatting sqref="I102:I103">
    <cfRule type="cellIs" dxfId="782" priority="107" operator="equal">
      <formula>0</formula>
    </cfRule>
    <cfRule type="cellIs" dxfId="781" priority="108" operator="notEqual">
      <formula>0</formula>
    </cfRule>
  </conditionalFormatting>
  <conditionalFormatting sqref="J102:J103">
    <cfRule type="cellIs" dxfId="780" priority="105" operator="equal">
      <formula>0</formula>
    </cfRule>
    <cfRule type="cellIs" dxfId="779" priority="106" operator="notEqual">
      <formula>0</formula>
    </cfRule>
  </conditionalFormatting>
  <conditionalFormatting sqref="O101">
    <cfRule type="cellIs" dxfId="778" priority="103" operator="equal">
      <formula>0</formula>
    </cfRule>
    <cfRule type="cellIs" dxfId="777" priority="104" operator="notEqual">
      <formula>0</formula>
    </cfRule>
  </conditionalFormatting>
  <conditionalFormatting sqref="P101">
    <cfRule type="cellIs" dxfId="776" priority="101" operator="equal">
      <formula>0</formula>
    </cfRule>
    <cfRule type="cellIs" dxfId="775" priority="102" operator="notEqual">
      <formula>0</formula>
    </cfRule>
  </conditionalFormatting>
  <conditionalFormatting sqref="Q101">
    <cfRule type="cellIs" dxfId="774" priority="99" operator="equal">
      <formula>0</formula>
    </cfRule>
    <cfRule type="cellIs" dxfId="773" priority="100" operator="notEqual">
      <formula>0</formula>
    </cfRule>
  </conditionalFormatting>
  <conditionalFormatting sqref="R101">
    <cfRule type="cellIs" dxfId="772" priority="97" operator="equal">
      <formula>0</formula>
    </cfRule>
    <cfRule type="cellIs" dxfId="771" priority="98" operator="notEqual">
      <formula>0</formula>
    </cfRule>
  </conditionalFormatting>
  <conditionalFormatting sqref="U74:U75">
    <cfRule type="cellIs" dxfId="770" priority="95" operator="equal">
      <formula>0</formula>
    </cfRule>
    <cfRule type="cellIs" dxfId="769" priority="96" operator="notEqual">
      <formula>0</formula>
    </cfRule>
  </conditionalFormatting>
  <conditionalFormatting sqref="V74:V75">
    <cfRule type="cellIs" dxfId="768" priority="93" operator="equal">
      <formula>0</formula>
    </cfRule>
    <cfRule type="cellIs" dxfId="767" priority="94" operator="notEqual">
      <formula>0</formula>
    </cfRule>
  </conditionalFormatting>
  <conditionalFormatting sqref="W74:W75">
    <cfRule type="cellIs" dxfId="766" priority="91" operator="equal">
      <formula>0</formula>
    </cfRule>
    <cfRule type="cellIs" dxfId="765" priority="92" operator="notEqual">
      <formula>0</formula>
    </cfRule>
  </conditionalFormatting>
  <conditionalFormatting sqref="X74:X75">
    <cfRule type="cellIs" dxfId="764" priority="89" operator="equal">
      <formula>0</formula>
    </cfRule>
    <cfRule type="cellIs" dxfId="763" priority="90" operator="notEqual">
      <formula>0</formula>
    </cfRule>
  </conditionalFormatting>
  <conditionalFormatting sqref="Y74:Y75">
    <cfRule type="cellIs" dxfId="762" priority="87" operator="equal">
      <formula>0</formula>
    </cfRule>
    <cfRule type="cellIs" dxfId="761" priority="88" operator="notEqual">
      <formula>0</formula>
    </cfRule>
  </conditionalFormatting>
  <conditionalFormatting sqref="Z74:Z75">
    <cfRule type="cellIs" dxfId="760" priority="85" operator="equal">
      <formula>0</formula>
    </cfRule>
    <cfRule type="cellIs" dxfId="759" priority="86" operator="notEqual">
      <formula>0</formula>
    </cfRule>
  </conditionalFormatting>
  <conditionalFormatting sqref="AA74:AA75">
    <cfRule type="cellIs" dxfId="758" priority="83" operator="equal">
      <formula>0</formula>
    </cfRule>
    <cfRule type="cellIs" dxfId="757" priority="84" operator="notEqual">
      <formula>0</formula>
    </cfRule>
  </conditionalFormatting>
  <conditionalFormatting sqref="AB74:AB75">
    <cfRule type="cellIs" dxfId="756" priority="81" operator="equal">
      <formula>0</formula>
    </cfRule>
    <cfRule type="cellIs" dxfId="755" priority="82" operator="notEqual">
      <formula>0</formula>
    </cfRule>
  </conditionalFormatting>
  <conditionalFormatting sqref="AG73">
    <cfRule type="cellIs" dxfId="754" priority="79" operator="equal">
      <formula>0</formula>
    </cfRule>
    <cfRule type="cellIs" dxfId="753" priority="80" operator="notEqual">
      <formula>0</formula>
    </cfRule>
  </conditionalFormatting>
  <conditionalFormatting sqref="AH73">
    <cfRule type="cellIs" dxfId="752" priority="77" operator="equal">
      <formula>0</formula>
    </cfRule>
    <cfRule type="cellIs" dxfId="751" priority="78" operator="notEqual">
      <formula>0</formula>
    </cfRule>
  </conditionalFormatting>
  <conditionalFormatting sqref="AI73">
    <cfRule type="cellIs" dxfId="750" priority="75" operator="equal">
      <formula>0</formula>
    </cfRule>
    <cfRule type="cellIs" dxfId="749" priority="76" operator="notEqual">
      <formula>0</formula>
    </cfRule>
  </conditionalFormatting>
  <conditionalFormatting sqref="AJ73">
    <cfRule type="cellIs" dxfId="748" priority="73" operator="equal">
      <formula>0</formula>
    </cfRule>
    <cfRule type="cellIs" dxfId="747" priority="74" operator="notEqual">
      <formula>0</formula>
    </cfRule>
  </conditionalFormatting>
  <conditionalFormatting sqref="U81:U82">
    <cfRule type="cellIs" dxfId="746" priority="71" operator="equal">
      <formula>0</formula>
    </cfRule>
    <cfRule type="cellIs" dxfId="745" priority="72" operator="notEqual">
      <formula>0</formula>
    </cfRule>
  </conditionalFormatting>
  <conditionalFormatting sqref="V81:V82">
    <cfRule type="cellIs" dxfId="744" priority="69" operator="equal">
      <formula>0</formula>
    </cfRule>
    <cfRule type="cellIs" dxfId="743" priority="70" operator="notEqual">
      <formula>0</formula>
    </cfRule>
  </conditionalFormatting>
  <conditionalFormatting sqref="W81:W82">
    <cfRule type="cellIs" dxfId="742" priority="67" operator="equal">
      <formula>0</formula>
    </cfRule>
    <cfRule type="cellIs" dxfId="741" priority="68" operator="notEqual">
      <formula>0</formula>
    </cfRule>
  </conditionalFormatting>
  <conditionalFormatting sqref="X81:X82">
    <cfRule type="cellIs" dxfId="740" priority="65" operator="equal">
      <formula>0</formula>
    </cfRule>
    <cfRule type="cellIs" dxfId="739" priority="66" operator="notEqual">
      <formula>0</formula>
    </cfRule>
  </conditionalFormatting>
  <conditionalFormatting sqref="Y81:Y82">
    <cfRule type="cellIs" dxfId="738" priority="63" operator="equal">
      <formula>0</formula>
    </cfRule>
    <cfRule type="cellIs" dxfId="737" priority="64" operator="notEqual">
      <formula>0</formula>
    </cfRule>
  </conditionalFormatting>
  <conditionalFormatting sqref="Z81:Z82">
    <cfRule type="cellIs" dxfId="736" priority="61" operator="equal">
      <formula>0</formula>
    </cfRule>
    <cfRule type="cellIs" dxfId="735" priority="62" operator="notEqual">
      <formula>0</formula>
    </cfRule>
  </conditionalFormatting>
  <conditionalFormatting sqref="AA81:AA82">
    <cfRule type="cellIs" dxfId="734" priority="59" operator="equal">
      <formula>0</formula>
    </cfRule>
    <cfRule type="cellIs" dxfId="733" priority="60" operator="notEqual">
      <formula>0</formula>
    </cfRule>
  </conditionalFormatting>
  <conditionalFormatting sqref="AB81:AB82">
    <cfRule type="cellIs" dxfId="732" priority="57" operator="equal">
      <formula>0</formula>
    </cfRule>
    <cfRule type="cellIs" dxfId="731" priority="58" operator="notEqual">
      <formula>0</formula>
    </cfRule>
  </conditionalFormatting>
  <conditionalFormatting sqref="AG80">
    <cfRule type="cellIs" dxfId="730" priority="55" operator="equal">
      <formula>0</formula>
    </cfRule>
    <cfRule type="cellIs" dxfId="729" priority="56" operator="notEqual">
      <formula>0</formula>
    </cfRule>
  </conditionalFormatting>
  <conditionalFormatting sqref="AH80">
    <cfRule type="cellIs" dxfId="728" priority="53" operator="equal">
      <formula>0</formula>
    </cfRule>
    <cfRule type="cellIs" dxfId="727" priority="54" operator="notEqual">
      <formula>0</formula>
    </cfRule>
  </conditionalFormatting>
  <conditionalFormatting sqref="AI80">
    <cfRule type="cellIs" dxfId="726" priority="51" operator="equal">
      <formula>0</formula>
    </cfRule>
    <cfRule type="cellIs" dxfId="725" priority="52" operator="notEqual">
      <formula>0</formula>
    </cfRule>
  </conditionalFormatting>
  <conditionalFormatting sqref="AJ80">
    <cfRule type="cellIs" dxfId="724" priority="49" operator="equal">
      <formula>0</formula>
    </cfRule>
    <cfRule type="cellIs" dxfId="723" priority="50" operator="notEqual">
      <formula>0</formula>
    </cfRule>
  </conditionalFormatting>
  <conditionalFormatting sqref="U88:U89">
    <cfRule type="cellIs" dxfId="722" priority="47" operator="equal">
      <formula>0</formula>
    </cfRule>
    <cfRule type="cellIs" dxfId="721" priority="48" operator="notEqual">
      <formula>0</formula>
    </cfRule>
  </conditionalFormatting>
  <conditionalFormatting sqref="V88:V89">
    <cfRule type="cellIs" dxfId="720" priority="45" operator="equal">
      <formula>0</formula>
    </cfRule>
    <cfRule type="cellIs" dxfId="719" priority="46" operator="notEqual">
      <formula>0</formula>
    </cfRule>
  </conditionalFormatting>
  <conditionalFormatting sqref="W88:W89">
    <cfRule type="cellIs" dxfId="718" priority="43" operator="equal">
      <formula>0</formula>
    </cfRule>
    <cfRule type="cellIs" dxfId="717" priority="44" operator="notEqual">
      <formula>0</formula>
    </cfRule>
  </conditionalFormatting>
  <conditionalFormatting sqref="X88:X89">
    <cfRule type="cellIs" dxfId="716" priority="41" operator="equal">
      <formula>0</formula>
    </cfRule>
    <cfRule type="cellIs" dxfId="715" priority="42" operator="notEqual">
      <formula>0</formula>
    </cfRule>
  </conditionalFormatting>
  <conditionalFormatting sqref="Y88:Y89">
    <cfRule type="cellIs" dxfId="714" priority="39" operator="equal">
      <formula>0</formula>
    </cfRule>
    <cfRule type="cellIs" dxfId="713" priority="40" operator="notEqual">
      <formula>0</formula>
    </cfRule>
  </conditionalFormatting>
  <conditionalFormatting sqref="Z88:Z89">
    <cfRule type="cellIs" dxfId="712" priority="37" operator="equal">
      <formula>0</formula>
    </cfRule>
    <cfRule type="cellIs" dxfId="711" priority="38" operator="notEqual">
      <formula>0</formula>
    </cfRule>
  </conditionalFormatting>
  <conditionalFormatting sqref="AA88:AA89">
    <cfRule type="cellIs" dxfId="710" priority="35" operator="equal">
      <formula>0</formula>
    </cfRule>
    <cfRule type="cellIs" dxfId="709" priority="36" operator="notEqual">
      <formula>0</formula>
    </cfRule>
  </conditionalFormatting>
  <conditionalFormatting sqref="AB88:AB89">
    <cfRule type="cellIs" dxfId="708" priority="33" operator="equal">
      <formula>0</formula>
    </cfRule>
    <cfRule type="cellIs" dxfId="707" priority="34" operator="notEqual">
      <formula>0</formula>
    </cfRule>
  </conditionalFormatting>
  <conditionalFormatting sqref="AG87">
    <cfRule type="cellIs" dxfId="706" priority="31" operator="equal">
      <formula>0</formula>
    </cfRule>
    <cfRule type="cellIs" dxfId="705" priority="32" operator="notEqual">
      <formula>0</formula>
    </cfRule>
  </conditionalFormatting>
  <conditionalFormatting sqref="AH87">
    <cfRule type="cellIs" dxfId="704" priority="29" operator="equal">
      <formula>0</formula>
    </cfRule>
    <cfRule type="cellIs" dxfId="703" priority="30" operator="notEqual">
      <formula>0</formula>
    </cfRule>
  </conditionalFormatting>
  <conditionalFormatting sqref="AI87">
    <cfRule type="cellIs" dxfId="702" priority="27" operator="equal">
      <formula>0</formula>
    </cfRule>
    <cfRule type="cellIs" dxfId="701" priority="28" operator="notEqual">
      <formula>0</formula>
    </cfRule>
  </conditionalFormatting>
  <conditionalFormatting sqref="AJ87">
    <cfRule type="cellIs" dxfId="700" priority="25" operator="equal">
      <formula>0</formula>
    </cfRule>
    <cfRule type="cellIs" dxfId="699" priority="26" operator="notEqual">
      <formula>0</formula>
    </cfRule>
  </conditionalFormatting>
  <conditionalFormatting sqref="U95:U96">
    <cfRule type="cellIs" dxfId="698" priority="23" operator="equal">
      <formula>0</formula>
    </cfRule>
    <cfRule type="cellIs" dxfId="697" priority="24" operator="notEqual">
      <formula>0</formula>
    </cfRule>
  </conditionalFormatting>
  <conditionalFormatting sqref="V95:V96">
    <cfRule type="cellIs" dxfId="696" priority="21" operator="equal">
      <formula>0</formula>
    </cfRule>
    <cfRule type="cellIs" dxfId="695" priority="22" operator="notEqual">
      <formula>0</formula>
    </cfRule>
  </conditionalFormatting>
  <conditionalFormatting sqref="W95:W96">
    <cfRule type="cellIs" dxfId="694" priority="19" operator="equal">
      <formula>0</formula>
    </cfRule>
    <cfRule type="cellIs" dxfId="693" priority="20" operator="notEqual">
      <formula>0</formula>
    </cfRule>
  </conditionalFormatting>
  <conditionalFormatting sqref="X95:X96">
    <cfRule type="cellIs" dxfId="692" priority="17" operator="equal">
      <formula>0</formula>
    </cfRule>
    <cfRule type="cellIs" dxfId="691" priority="18" operator="notEqual">
      <formula>0</formula>
    </cfRule>
  </conditionalFormatting>
  <conditionalFormatting sqref="Y95:Y96">
    <cfRule type="cellIs" dxfId="690" priority="15" operator="equal">
      <formula>0</formula>
    </cfRule>
    <cfRule type="cellIs" dxfId="689" priority="16" operator="notEqual">
      <formula>0</formula>
    </cfRule>
  </conditionalFormatting>
  <conditionalFormatting sqref="Z95:Z96">
    <cfRule type="cellIs" dxfId="688" priority="13" operator="equal">
      <formula>0</formula>
    </cfRule>
    <cfRule type="cellIs" dxfId="687" priority="14" operator="notEqual">
      <formula>0</formula>
    </cfRule>
  </conditionalFormatting>
  <conditionalFormatting sqref="AA95:AA96">
    <cfRule type="cellIs" dxfId="686" priority="11" operator="equal">
      <formula>0</formula>
    </cfRule>
    <cfRule type="cellIs" dxfId="685" priority="12" operator="notEqual">
      <formula>0</formula>
    </cfRule>
  </conditionalFormatting>
  <conditionalFormatting sqref="AB95:AB96">
    <cfRule type="cellIs" dxfId="684" priority="9" operator="equal">
      <formula>0</formula>
    </cfRule>
    <cfRule type="cellIs" dxfId="683" priority="10" operator="notEqual">
      <formula>0</formula>
    </cfRule>
  </conditionalFormatting>
  <conditionalFormatting sqref="AG94">
    <cfRule type="cellIs" dxfId="682" priority="7" operator="equal">
      <formula>0</formula>
    </cfRule>
    <cfRule type="cellIs" dxfId="681" priority="8" operator="notEqual">
      <formula>0</formula>
    </cfRule>
  </conditionalFormatting>
  <conditionalFormatting sqref="AH94">
    <cfRule type="cellIs" dxfId="680" priority="5" operator="equal">
      <formula>0</formula>
    </cfRule>
    <cfRule type="cellIs" dxfId="679" priority="6" operator="notEqual">
      <formula>0</formula>
    </cfRule>
  </conditionalFormatting>
  <conditionalFormatting sqref="AI94">
    <cfRule type="cellIs" dxfId="678" priority="3" operator="equal">
      <formula>0</formula>
    </cfRule>
    <cfRule type="cellIs" dxfId="677" priority="4" operator="notEqual">
      <formula>0</formula>
    </cfRule>
  </conditionalFormatting>
  <conditionalFormatting sqref="AJ94">
    <cfRule type="cellIs" dxfId="676" priority="1" operator="equal">
      <formula>0</formula>
    </cfRule>
    <cfRule type="cellIs" dxfId="675"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sqref="A1:AJ1"/>
    </sheetView>
  </sheetViews>
  <sheetFormatPr defaultColWidth="9.140625" defaultRowHeight="15" x14ac:dyDescent="0.25"/>
  <cols>
    <col min="1" max="1" width="2.42578125" customWidth="1"/>
    <col min="2" max="2" width="36.140625" customWidth="1"/>
    <col min="20" max="20" width="33" customWidth="1"/>
  </cols>
  <sheetData>
    <row r="1" spans="1:50" ht="72" customHeight="1" x14ac:dyDescent="0.25">
      <c r="A1" s="536" t="s">
        <v>1162</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61"/>
      <c r="AL1" s="261"/>
      <c r="AM1" s="261"/>
      <c r="AN1" s="261"/>
      <c r="AO1" s="261"/>
      <c r="AP1" s="261"/>
      <c r="AQ1" s="261"/>
      <c r="AR1" s="261"/>
      <c r="AS1" s="261"/>
      <c r="AT1" s="261"/>
      <c r="AU1" s="261"/>
      <c r="AV1" s="261"/>
      <c r="AW1" s="261"/>
      <c r="AX1" s="261"/>
    </row>
    <row r="2" spans="1:50" ht="66" customHeight="1" x14ac:dyDescent="0.25">
      <c r="A2" s="545"/>
      <c r="B2" s="545"/>
      <c r="C2" s="545"/>
      <c r="D2" s="545"/>
      <c r="E2" s="545"/>
      <c r="F2" s="545"/>
      <c r="G2" s="545"/>
      <c r="H2" s="545"/>
      <c r="I2" s="545"/>
      <c r="J2" s="545"/>
      <c r="K2" s="545"/>
      <c r="L2" s="545"/>
      <c r="M2" s="545"/>
      <c r="N2" s="545"/>
      <c r="O2" s="545"/>
      <c r="P2" s="545"/>
      <c r="Q2" s="545"/>
      <c r="R2" s="545"/>
      <c r="S2" s="545"/>
      <c r="T2" s="545"/>
      <c r="U2" s="545"/>
      <c r="V2" s="545"/>
      <c r="W2" s="545"/>
      <c r="X2" s="545"/>
      <c r="Y2" s="545"/>
      <c r="Z2" s="545"/>
      <c r="AA2" s="545"/>
      <c r="AB2" s="545"/>
      <c r="AC2" s="545"/>
      <c r="AD2" s="545"/>
      <c r="AE2" s="545"/>
      <c r="AF2" s="545"/>
      <c r="AG2" s="545"/>
      <c r="AH2" s="545"/>
      <c r="AI2" s="545"/>
      <c r="AJ2" s="545"/>
      <c r="AK2" s="545"/>
      <c r="AL2" s="545"/>
      <c r="AM2" s="545"/>
      <c r="AN2" s="545"/>
      <c r="AO2" s="545"/>
      <c r="AP2" s="545"/>
      <c r="AQ2" s="545"/>
      <c r="AR2" s="545"/>
      <c r="AS2" s="545"/>
      <c r="AT2" s="545"/>
      <c r="AU2" s="545"/>
      <c r="AV2" s="545"/>
      <c r="AW2" s="545"/>
      <c r="AX2" s="545"/>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25">
      <c r="B4" s="143" t="s">
        <v>1163</v>
      </c>
    </row>
    <row r="5" spans="1:50" ht="27.75" customHeight="1" x14ac:dyDescent="0.25">
      <c r="B5" s="242" t="s">
        <v>17</v>
      </c>
      <c r="P5" s="40"/>
    </row>
    <row r="6" spans="1:50" x14ac:dyDescent="0.25">
      <c r="B6" s="46"/>
    </row>
    <row r="8" spans="1:50" ht="25.5" customHeight="1" x14ac:dyDescent="0.25">
      <c r="B8" s="290" t="str">
        <f>HLOOKUP($B$5,Region_Table,2,0)</f>
        <v>All East Midlands Region</v>
      </c>
      <c r="C8" s="512" t="s">
        <v>1164</v>
      </c>
      <c r="D8" s="513"/>
      <c r="E8" s="513"/>
      <c r="F8" s="513"/>
      <c r="G8" s="513"/>
      <c r="H8" s="513"/>
      <c r="I8" s="513"/>
      <c r="J8" s="513"/>
      <c r="K8" s="513"/>
      <c r="L8" s="513"/>
      <c r="M8" s="542"/>
      <c r="N8" s="542"/>
      <c r="O8" s="543"/>
      <c r="P8" s="515">
        <f>SUM(SUMIFS('caseload data'!V:V,'caseload data'!B:B,{"licence","community"},'caseload data'!C:C,B8))</f>
        <v>0</v>
      </c>
      <c r="Q8" s="532"/>
      <c r="R8" s="533"/>
      <c r="S8" s="64"/>
      <c r="T8" s="290" t="str">
        <f>HLOOKUP($B$5,Region_Table,3,0)</f>
        <v>Derby City - N53</v>
      </c>
      <c r="U8" s="512" t="s">
        <v>1164</v>
      </c>
      <c r="V8" s="513"/>
      <c r="W8" s="513"/>
      <c r="X8" s="513"/>
      <c r="Y8" s="513"/>
      <c r="Z8" s="513"/>
      <c r="AA8" s="513"/>
      <c r="AB8" s="513"/>
      <c r="AC8" s="513"/>
      <c r="AD8" s="513"/>
      <c r="AE8" s="542"/>
      <c r="AF8" s="542"/>
      <c r="AG8" s="543"/>
      <c r="AH8" s="515">
        <f>SUM(SUMIFS('caseload data'!V:V,'caseload data'!B:B,{"licence","community"},'caseload data'!C:C,T8))</f>
        <v>0</v>
      </c>
      <c r="AI8" s="532"/>
      <c r="AJ8" s="533"/>
    </row>
    <row r="9" spans="1:50" x14ac:dyDescent="0.25">
      <c r="B9" s="95" t="s">
        <v>1022</v>
      </c>
      <c r="C9" s="38" t="s">
        <v>879</v>
      </c>
      <c r="D9" s="38" t="s">
        <v>880</v>
      </c>
      <c r="E9" s="38" t="s">
        <v>881</v>
      </c>
      <c r="F9" s="38" t="s">
        <v>882</v>
      </c>
      <c r="G9" s="38" t="s">
        <v>883</v>
      </c>
      <c r="H9" s="38" t="s">
        <v>884</v>
      </c>
      <c r="I9" s="38" t="s">
        <v>885</v>
      </c>
      <c r="J9" s="38" t="s">
        <v>886</v>
      </c>
      <c r="K9" s="38" t="s">
        <v>887</v>
      </c>
      <c r="L9" s="38" t="s">
        <v>888</v>
      </c>
      <c r="M9" s="38" t="s">
        <v>889</v>
      </c>
      <c r="N9" s="38" t="s">
        <v>890</v>
      </c>
      <c r="O9" s="38" t="s">
        <v>891</v>
      </c>
      <c r="P9" s="38" t="s">
        <v>892</v>
      </c>
      <c r="Q9" s="38" t="s">
        <v>893</v>
      </c>
      <c r="R9" s="38" t="s">
        <v>894</v>
      </c>
      <c r="S9" s="64"/>
      <c r="T9" s="95" t="s">
        <v>1022</v>
      </c>
      <c r="U9" s="38" t="s">
        <v>879</v>
      </c>
      <c r="V9" s="38" t="s">
        <v>880</v>
      </c>
      <c r="W9" s="38" t="s">
        <v>881</v>
      </c>
      <c r="X9" s="38" t="s">
        <v>882</v>
      </c>
      <c r="Y9" s="38" t="s">
        <v>883</v>
      </c>
      <c r="Z9" s="38" t="s">
        <v>884</v>
      </c>
      <c r="AA9" s="38" t="s">
        <v>885</v>
      </c>
      <c r="AB9" s="38" t="s">
        <v>886</v>
      </c>
      <c r="AC9" s="38" t="s">
        <v>887</v>
      </c>
      <c r="AD9" s="38" t="s">
        <v>888</v>
      </c>
      <c r="AE9" s="38" t="s">
        <v>889</v>
      </c>
      <c r="AF9" s="38" t="s">
        <v>890</v>
      </c>
      <c r="AG9" s="38" t="s">
        <v>891</v>
      </c>
      <c r="AH9" s="38" t="s">
        <v>892</v>
      </c>
      <c r="AI9" s="38" t="s">
        <v>893</v>
      </c>
      <c r="AJ9" s="38" t="s">
        <v>894</v>
      </c>
    </row>
    <row r="10" spans="1:50" x14ac:dyDescent="0.25">
      <c r="B10" s="96" t="s">
        <v>1019</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1019</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25">
      <c r="B11" s="97" t="s">
        <v>1024</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1024</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25">
      <c r="B12" s="97" t="s">
        <v>1025</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1025</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25">
      <c r="B13" s="98" t="s">
        <v>1026</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1026</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25">
      <c r="B15" s="290" t="str">
        <f>HLOOKUP($B$5,Region_Table,4,0)</f>
        <v>Derbyshire - N53</v>
      </c>
      <c r="C15" s="512" t="s">
        <v>1164</v>
      </c>
      <c r="D15" s="513"/>
      <c r="E15" s="513"/>
      <c r="F15" s="513"/>
      <c r="G15" s="513"/>
      <c r="H15" s="513"/>
      <c r="I15" s="513"/>
      <c r="J15" s="513"/>
      <c r="K15" s="513"/>
      <c r="L15" s="513"/>
      <c r="M15" s="542"/>
      <c r="N15" s="542"/>
      <c r="O15" s="543"/>
      <c r="P15" s="515" cm="1">
        <f t="array" ref="P15">SUM(SUMIFS('caseload data'!V:V,'caseload data'!B:B,{"licence","community"},'caseload data'!$C:$C,B15))</f>
        <v>0</v>
      </c>
      <c r="Q15" s="532"/>
      <c r="R15" s="533"/>
      <c r="S15" s="64"/>
      <c r="T15" s="290" t="str">
        <f>HLOOKUP($B$5,Region_Table,5,0)</f>
        <v>Leicester, Leicestershire and Rutland</v>
      </c>
      <c r="U15" s="512" t="s">
        <v>1164</v>
      </c>
      <c r="V15" s="513"/>
      <c r="W15" s="513"/>
      <c r="X15" s="513"/>
      <c r="Y15" s="513"/>
      <c r="Z15" s="513"/>
      <c r="AA15" s="513"/>
      <c r="AB15" s="513"/>
      <c r="AC15" s="513"/>
      <c r="AD15" s="513"/>
      <c r="AE15" s="542"/>
      <c r="AF15" s="542"/>
      <c r="AG15" s="543"/>
      <c r="AH15" s="515" cm="1">
        <f t="array" ref="AH15">SUM(SUMIFS('caseload data'!V:V,'caseload data'!B:B,{"licence","community"},'caseload data'!$C:$C,T15))</f>
        <v>0</v>
      </c>
      <c r="AI15" s="532"/>
      <c r="AJ15" s="533"/>
    </row>
    <row r="16" spans="1:50" x14ac:dyDescent="0.25">
      <c r="B16" s="95" t="s">
        <v>1022</v>
      </c>
      <c r="C16" s="38" t="s">
        <v>879</v>
      </c>
      <c r="D16" s="38" t="s">
        <v>880</v>
      </c>
      <c r="E16" s="38" t="s">
        <v>881</v>
      </c>
      <c r="F16" s="38" t="s">
        <v>882</v>
      </c>
      <c r="G16" s="38" t="s">
        <v>883</v>
      </c>
      <c r="H16" s="38" t="s">
        <v>884</v>
      </c>
      <c r="I16" s="38" t="s">
        <v>885</v>
      </c>
      <c r="J16" s="38" t="s">
        <v>886</v>
      </c>
      <c r="K16" s="38" t="s">
        <v>887</v>
      </c>
      <c r="L16" s="38" t="s">
        <v>888</v>
      </c>
      <c r="M16" s="38" t="s">
        <v>889</v>
      </c>
      <c r="N16" s="38" t="s">
        <v>890</v>
      </c>
      <c r="O16" s="38" t="s">
        <v>891</v>
      </c>
      <c r="P16" s="38" t="s">
        <v>892</v>
      </c>
      <c r="Q16" s="38" t="s">
        <v>893</v>
      </c>
      <c r="R16" s="38" t="s">
        <v>894</v>
      </c>
      <c r="S16" s="64"/>
      <c r="T16" s="95" t="s">
        <v>1022</v>
      </c>
      <c r="U16" s="38" t="s">
        <v>879</v>
      </c>
      <c r="V16" s="38" t="s">
        <v>880</v>
      </c>
      <c r="W16" s="38" t="s">
        <v>881</v>
      </c>
      <c r="X16" s="38" t="s">
        <v>882</v>
      </c>
      <c r="Y16" s="38" t="s">
        <v>883</v>
      </c>
      <c r="Z16" s="38" t="s">
        <v>884</v>
      </c>
      <c r="AA16" s="38" t="s">
        <v>885</v>
      </c>
      <c r="AB16" s="38" t="s">
        <v>886</v>
      </c>
      <c r="AC16" s="38" t="s">
        <v>887</v>
      </c>
      <c r="AD16" s="38" t="s">
        <v>888</v>
      </c>
      <c r="AE16" s="38" t="s">
        <v>889</v>
      </c>
      <c r="AF16" s="38" t="s">
        <v>890</v>
      </c>
      <c r="AG16" s="38" t="s">
        <v>891</v>
      </c>
      <c r="AH16" s="38" t="s">
        <v>892</v>
      </c>
      <c r="AI16" s="38" t="s">
        <v>893</v>
      </c>
      <c r="AJ16" s="38" t="s">
        <v>894</v>
      </c>
    </row>
    <row r="17" spans="2:36" x14ac:dyDescent="0.25">
      <c r="B17" s="96" t="s">
        <v>1019</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1019</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25">
      <c r="B18" s="97" t="s">
        <v>1024</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1024</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25">
      <c r="B19" s="97" t="s">
        <v>1025</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1025</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25">
      <c r="B20" s="98" t="s">
        <v>1026</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1026</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25">
      <c r="B22" s="290" t="str">
        <f>HLOOKUP($B$5,Region_Table,6,0)</f>
        <v>Lincolnshire East and West - N53</v>
      </c>
      <c r="C22" s="512" t="s">
        <v>1164</v>
      </c>
      <c r="D22" s="513"/>
      <c r="E22" s="513"/>
      <c r="F22" s="513"/>
      <c r="G22" s="513"/>
      <c r="H22" s="513"/>
      <c r="I22" s="513"/>
      <c r="J22" s="513"/>
      <c r="K22" s="513"/>
      <c r="L22" s="513"/>
      <c r="M22" s="542"/>
      <c r="N22" s="542"/>
      <c r="O22" s="543"/>
      <c r="P22" s="515" cm="1">
        <f t="array" ref="P22">SUM(SUMIFS('caseload data'!V:V,'caseload data'!B:B,{"licence","community"},'caseload data'!$C:$C,B22))</f>
        <v>0</v>
      </c>
      <c r="Q22" s="532"/>
      <c r="R22" s="533"/>
      <c r="S22" s="64"/>
      <c r="T22" s="290" t="str">
        <f>HLOOKUP($B$5,Region_Table,7,0)</f>
        <v>Nottingham City</v>
      </c>
      <c r="U22" s="512" t="s">
        <v>1164</v>
      </c>
      <c r="V22" s="513"/>
      <c r="W22" s="513"/>
      <c r="X22" s="513"/>
      <c r="Y22" s="513"/>
      <c r="Z22" s="513"/>
      <c r="AA22" s="513"/>
      <c r="AB22" s="513"/>
      <c r="AC22" s="513"/>
      <c r="AD22" s="513"/>
      <c r="AE22" s="542"/>
      <c r="AF22" s="542"/>
      <c r="AG22" s="543"/>
      <c r="AH22" s="515" cm="1">
        <f t="array" ref="AH22">SUM(SUMIFS('caseload data'!V:V,'caseload data'!B:B,{"licence","community"},'caseload data'!$C:$C,T22))</f>
        <v>0</v>
      </c>
      <c r="AI22" s="532"/>
      <c r="AJ22" s="533"/>
    </row>
    <row r="23" spans="2:36" x14ac:dyDescent="0.25">
      <c r="B23" s="95" t="s">
        <v>1022</v>
      </c>
      <c r="C23" s="38" t="s">
        <v>879</v>
      </c>
      <c r="D23" s="38" t="s">
        <v>880</v>
      </c>
      <c r="E23" s="38" t="s">
        <v>881</v>
      </c>
      <c r="F23" s="38" t="s">
        <v>882</v>
      </c>
      <c r="G23" s="38" t="s">
        <v>883</v>
      </c>
      <c r="H23" s="38" t="s">
        <v>884</v>
      </c>
      <c r="I23" s="38" t="s">
        <v>885</v>
      </c>
      <c r="J23" s="38" t="s">
        <v>886</v>
      </c>
      <c r="K23" s="38" t="s">
        <v>887</v>
      </c>
      <c r="L23" s="38" t="s">
        <v>888</v>
      </c>
      <c r="M23" s="38" t="s">
        <v>889</v>
      </c>
      <c r="N23" s="38" t="s">
        <v>890</v>
      </c>
      <c r="O23" s="38" t="s">
        <v>891</v>
      </c>
      <c r="P23" s="38" t="s">
        <v>892</v>
      </c>
      <c r="Q23" s="38" t="s">
        <v>893</v>
      </c>
      <c r="R23" s="38" t="s">
        <v>894</v>
      </c>
      <c r="S23" s="64"/>
      <c r="T23" s="95" t="s">
        <v>1022</v>
      </c>
      <c r="U23" s="38" t="s">
        <v>879</v>
      </c>
      <c r="V23" s="38" t="s">
        <v>880</v>
      </c>
      <c r="W23" s="38" t="s">
        <v>881</v>
      </c>
      <c r="X23" s="38" t="s">
        <v>882</v>
      </c>
      <c r="Y23" s="38" t="s">
        <v>883</v>
      </c>
      <c r="Z23" s="38" t="s">
        <v>884</v>
      </c>
      <c r="AA23" s="38" t="s">
        <v>885</v>
      </c>
      <c r="AB23" s="38" t="s">
        <v>886</v>
      </c>
      <c r="AC23" s="38" t="s">
        <v>887</v>
      </c>
      <c r="AD23" s="38" t="s">
        <v>888</v>
      </c>
      <c r="AE23" s="38" t="s">
        <v>889</v>
      </c>
      <c r="AF23" s="38" t="s">
        <v>890</v>
      </c>
      <c r="AG23" s="38" t="s">
        <v>891</v>
      </c>
      <c r="AH23" s="38" t="s">
        <v>892</v>
      </c>
      <c r="AI23" s="38" t="s">
        <v>893</v>
      </c>
      <c r="AJ23" s="38" t="s">
        <v>894</v>
      </c>
    </row>
    <row r="24" spans="2:36" x14ac:dyDescent="0.25">
      <c r="B24" s="96" t="s">
        <v>1019</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1019</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25">
      <c r="B25" s="97" t="s">
        <v>1024</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1024</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25">
      <c r="B26" s="97" t="s">
        <v>1025</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1025</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25">
      <c r="B27" s="98" t="s">
        <v>1026</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1026</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25">
      <c r="B29" s="290" t="str">
        <f>HLOOKUP($B$5,Region_Table,8,0)</f>
        <v>Nottinghamshire - N53</v>
      </c>
      <c r="C29" s="512" t="s">
        <v>1164</v>
      </c>
      <c r="D29" s="513"/>
      <c r="E29" s="513"/>
      <c r="F29" s="513"/>
      <c r="G29" s="513"/>
      <c r="H29" s="513"/>
      <c r="I29" s="513"/>
      <c r="J29" s="513"/>
      <c r="K29" s="513"/>
      <c r="L29" s="513"/>
      <c r="M29" s="542"/>
      <c r="N29" s="542"/>
      <c r="O29" s="543"/>
      <c r="P29" s="515" cm="1">
        <f t="array" ref="P29">SUM(SUMIFS('caseload data'!V:V,'caseload data'!B:B,{"licence","community"},'caseload data'!$C:$C,B29))</f>
        <v>0</v>
      </c>
      <c r="Q29" s="532"/>
      <c r="R29" s="533"/>
      <c r="S29" s="64"/>
      <c r="T29" s="290" t="str">
        <f>HLOOKUP($B$5,Region_Table,9,0)</f>
        <v>Unpaid Work and Attendance Centres - N53</v>
      </c>
      <c r="U29" s="512" t="s">
        <v>1164</v>
      </c>
      <c r="V29" s="513"/>
      <c r="W29" s="513"/>
      <c r="X29" s="513"/>
      <c r="Y29" s="513"/>
      <c r="Z29" s="513"/>
      <c r="AA29" s="513"/>
      <c r="AB29" s="513"/>
      <c r="AC29" s="513"/>
      <c r="AD29" s="513"/>
      <c r="AE29" s="542"/>
      <c r="AF29" s="542"/>
      <c r="AG29" s="543"/>
      <c r="AH29" s="515" cm="1">
        <f t="array" ref="AH29">SUM(SUMIFS('caseload data'!V:V,'caseload data'!B:B,{"licence","community"},'caseload data'!$C:$C,T29))</f>
        <v>0</v>
      </c>
      <c r="AI29" s="532"/>
      <c r="AJ29" s="533"/>
    </row>
    <row r="30" spans="2:36" x14ac:dyDescent="0.25">
      <c r="B30" s="95" t="s">
        <v>1022</v>
      </c>
      <c r="C30" s="38" t="s">
        <v>879</v>
      </c>
      <c r="D30" s="38" t="s">
        <v>880</v>
      </c>
      <c r="E30" s="38" t="s">
        <v>881</v>
      </c>
      <c r="F30" s="38" t="s">
        <v>882</v>
      </c>
      <c r="G30" s="38" t="s">
        <v>883</v>
      </c>
      <c r="H30" s="38" t="s">
        <v>884</v>
      </c>
      <c r="I30" s="38" t="s">
        <v>885</v>
      </c>
      <c r="J30" s="38" t="s">
        <v>886</v>
      </c>
      <c r="K30" s="38" t="s">
        <v>887</v>
      </c>
      <c r="L30" s="38" t="s">
        <v>888</v>
      </c>
      <c r="M30" s="38" t="s">
        <v>889</v>
      </c>
      <c r="N30" s="38" t="s">
        <v>890</v>
      </c>
      <c r="O30" s="38" t="s">
        <v>891</v>
      </c>
      <c r="P30" s="38" t="s">
        <v>892</v>
      </c>
      <c r="Q30" s="38" t="s">
        <v>893</v>
      </c>
      <c r="R30" s="38" t="s">
        <v>894</v>
      </c>
      <c r="S30" s="64"/>
      <c r="T30" s="95" t="s">
        <v>1022</v>
      </c>
      <c r="U30" s="38" t="s">
        <v>879</v>
      </c>
      <c r="V30" s="38" t="s">
        <v>880</v>
      </c>
      <c r="W30" s="38" t="s">
        <v>881</v>
      </c>
      <c r="X30" s="38" t="s">
        <v>882</v>
      </c>
      <c r="Y30" s="38" t="s">
        <v>883</v>
      </c>
      <c r="Z30" s="38" t="s">
        <v>884</v>
      </c>
      <c r="AA30" s="38" t="s">
        <v>885</v>
      </c>
      <c r="AB30" s="38" t="s">
        <v>886</v>
      </c>
      <c r="AC30" s="38" t="s">
        <v>887</v>
      </c>
      <c r="AD30" s="38" t="s">
        <v>888</v>
      </c>
      <c r="AE30" s="38" t="s">
        <v>889</v>
      </c>
      <c r="AF30" s="38" t="s">
        <v>890</v>
      </c>
      <c r="AG30" s="38" t="s">
        <v>891</v>
      </c>
      <c r="AH30" s="38" t="s">
        <v>892</v>
      </c>
      <c r="AI30" s="38" t="s">
        <v>893</v>
      </c>
      <c r="AJ30" s="38" t="s">
        <v>894</v>
      </c>
    </row>
    <row r="31" spans="2:36" x14ac:dyDescent="0.25">
      <c r="B31" s="96" t="s">
        <v>1019</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1019</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25">
      <c r="B32" s="97" t="s">
        <v>1024</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1024</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25">
      <c r="B33" s="97" t="s">
        <v>1025</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1025</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25">
      <c r="B34" s="98" t="s">
        <v>1026</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1026</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25">
      <c r="B36" s="290">
        <f>HLOOKUP($B$5,Region_Table,10,0)</f>
        <v>0</v>
      </c>
      <c r="C36" s="512" t="s">
        <v>1164</v>
      </c>
      <c r="D36" s="513"/>
      <c r="E36" s="513"/>
      <c r="F36" s="513"/>
      <c r="G36" s="513"/>
      <c r="H36" s="513"/>
      <c r="I36" s="513"/>
      <c r="J36" s="513"/>
      <c r="K36" s="513"/>
      <c r="L36" s="513"/>
      <c r="M36" s="542"/>
      <c r="N36" s="542"/>
      <c r="O36" s="543"/>
      <c r="P36" s="515" cm="1">
        <f t="array" ref="P36">SUM(SUMIFS('caseload data'!V:V,'caseload data'!B:B,{"licence","community"},'caseload data'!$C:$C,B36))</f>
        <v>0</v>
      </c>
      <c r="Q36" s="532"/>
      <c r="R36" s="533"/>
      <c r="S36" s="64"/>
      <c r="T36" s="290">
        <f>HLOOKUP($B$5,Region_Table,11,0)</f>
        <v>0</v>
      </c>
      <c r="U36" s="512" t="s">
        <v>1164</v>
      </c>
      <c r="V36" s="513"/>
      <c r="W36" s="513"/>
      <c r="X36" s="513"/>
      <c r="Y36" s="513"/>
      <c r="Z36" s="513"/>
      <c r="AA36" s="513"/>
      <c r="AB36" s="513"/>
      <c r="AC36" s="513"/>
      <c r="AD36" s="513"/>
      <c r="AE36" s="542"/>
      <c r="AF36" s="542"/>
      <c r="AG36" s="543"/>
      <c r="AH36" s="515" cm="1">
        <f t="array" ref="AH36">SUM(SUMIFS('caseload data'!V:V,'caseload data'!B:B,{"licence","community"},'caseload data'!$C:$C,T36))</f>
        <v>0</v>
      </c>
      <c r="AI36" s="532"/>
      <c r="AJ36" s="533"/>
    </row>
    <row r="37" spans="2:36" x14ac:dyDescent="0.25">
      <c r="B37" s="95" t="s">
        <v>1022</v>
      </c>
      <c r="C37" s="38" t="s">
        <v>879</v>
      </c>
      <c r="D37" s="38" t="s">
        <v>880</v>
      </c>
      <c r="E37" s="38" t="s">
        <v>881</v>
      </c>
      <c r="F37" s="38" t="s">
        <v>882</v>
      </c>
      <c r="G37" s="38" t="s">
        <v>883</v>
      </c>
      <c r="H37" s="38" t="s">
        <v>884</v>
      </c>
      <c r="I37" s="38" t="s">
        <v>885</v>
      </c>
      <c r="J37" s="38" t="s">
        <v>886</v>
      </c>
      <c r="K37" s="38" t="s">
        <v>887</v>
      </c>
      <c r="L37" s="38" t="s">
        <v>888</v>
      </c>
      <c r="M37" s="38" t="s">
        <v>889</v>
      </c>
      <c r="N37" s="38" t="s">
        <v>890</v>
      </c>
      <c r="O37" s="38" t="s">
        <v>891</v>
      </c>
      <c r="P37" s="38" t="s">
        <v>892</v>
      </c>
      <c r="Q37" s="38" t="s">
        <v>893</v>
      </c>
      <c r="R37" s="38" t="s">
        <v>894</v>
      </c>
      <c r="S37" s="64"/>
      <c r="T37" s="95" t="s">
        <v>1022</v>
      </c>
      <c r="U37" s="38" t="s">
        <v>879</v>
      </c>
      <c r="V37" s="38" t="s">
        <v>880</v>
      </c>
      <c r="W37" s="38" t="s">
        <v>881</v>
      </c>
      <c r="X37" s="38" t="s">
        <v>882</v>
      </c>
      <c r="Y37" s="38" t="s">
        <v>883</v>
      </c>
      <c r="Z37" s="38" t="s">
        <v>884</v>
      </c>
      <c r="AA37" s="38" t="s">
        <v>885</v>
      </c>
      <c r="AB37" s="38" t="s">
        <v>886</v>
      </c>
      <c r="AC37" s="38" t="s">
        <v>887</v>
      </c>
      <c r="AD37" s="38" t="s">
        <v>888</v>
      </c>
      <c r="AE37" s="38" t="s">
        <v>889</v>
      </c>
      <c r="AF37" s="38" t="s">
        <v>890</v>
      </c>
      <c r="AG37" s="38" t="s">
        <v>891</v>
      </c>
      <c r="AH37" s="38" t="s">
        <v>892</v>
      </c>
      <c r="AI37" s="38" t="s">
        <v>893</v>
      </c>
      <c r="AJ37" s="38" t="s">
        <v>894</v>
      </c>
    </row>
    <row r="38" spans="2:36" x14ac:dyDescent="0.25">
      <c r="B38" s="96" t="s">
        <v>1019</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1019</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25">
      <c r="B39" s="97" t="s">
        <v>1024</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1024</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25">
      <c r="B40" s="97" t="s">
        <v>1025</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1025</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25">
      <c r="B41" s="98" t="s">
        <v>1026</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1026</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25">
      <c r="B43" s="290">
        <f>HLOOKUP($B$5,Region_Table,12,0)</f>
        <v>0</v>
      </c>
      <c r="C43" s="512" t="s">
        <v>1164</v>
      </c>
      <c r="D43" s="513"/>
      <c r="E43" s="513"/>
      <c r="F43" s="513"/>
      <c r="G43" s="513"/>
      <c r="H43" s="513"/>
      <c r="I43" s="513"/>
      <c r="J43" s="513"/>
      <c r="K43" s="513"/>
      <c r="L43" s="513"/>
      <c r="M43" s="542"/>
      <c r="N43" s="542"/>
      <c r="O43" s="543"/>
      <c r="P43" s="515" cm="1">
        <f t="array" ref="P43">SUM(SUMIFS('caseload data'!V:V,'caseload data'!B:B,{"licence","community"},'caseload data'!$C:$C,B43))</f>
        <v>0</v>
      </c>
      <c r="Q43" s="532"/>
      <c r="R43" s="533"/>
      <c r="S43" s="64"/>
      <c r="T43" s="290">
        <f>HLOOKUP($B$5,Region_Table,13,0)</f>
        <v>0</v>
      </c>
      <c r="U43" s="512" t="s">
        <v>1164</v>
      </c>
      <c r="V43" s="513"/>
      <c r="W43" s="513"/>
      <c r="X43" s="513"/>
      <c r="Y43" s="513"/>
      <c r="Z43" s="513"/>
      <c r="AA43" s="513"/>
      <c r="AB43" s="513"/>
      <c r="AC43" s="513"/>
      <c r="AD43" s="513"/>
      <c r="AE43" s="542"/>
      <c r="AF43" s="542"/>
      <c r="AG43" s="543"/>
      <c r="AH43" s="515" cm="1">
        <f t="array" ref="AH43">SUM(SUMIFS('caseload data'!V:V,'caseload data'!B:B,{"licence","community"},'caseload data'!$C:$C,T43))</f>
        <v>0</v>
      </c>
      <c r="AI43" s="532"/>
      <c r="AJ43" s="533"/>
    </row>
    <row r="44" spans="2:36" x14ac:dyDescent="0.25">
      <c r="B44" s="95" t="s">
        <v>1022</v>
      </c>
      <c r="C44" s="38" t="s">
        <v>879</v>
      </c>
      <c r="D44" s="38" t="s">
        <v>880</v>
      </c>
      <c r="E44" s="38" t="s">
        <v>881</v>
      </c>
      <c r="F44" s="38" t="s">
        <v>882</v>
      </c>
      <c r="G44" s="38" t="s">
        <v>883</v>
      </c>
      <c r="H44" s="38" t="s">
        <v>884</v>
      </c>
      <c r="I44" s="38" t="s">
        <v>885</v>
      </c>
      <c r="J44" s="38" t="s">
        <v>886</v>
      </c>
      <c r="K44" s="38" t="s">
        <v>887</v>
      </c>
      <c r="L44" s="38" t="s">
        <v>888</v>
      </c>
      <c r="M44" s="38" t="s">
        <v>889</v>
      </c>
      <c r="N44" s="38" t="s">
        <v>890</v>
      </c>
      <c r="O44" s="38" t="s">
        <v>891</v>
      </c>
      <c r="P44" s="38" t="s">
        <v>892</v>
      </c>
      <c r="Q44" s="38" t="s">
        <v>893</v>
      </c>
      <c r="R44" s="38" t="s">
        <v>894</v>
      </c>
      <c r="S44" s="64"/>
      <c r="T44" s="95" t="s">
        <v>1022</v>
      </c>
      <c r="U44" s="38" t="s">
        <v>879</v>
      </c>
      <c r="V44" s="38" t="s">
        <v>880</v>
      </c>
      <c r="W44" s="38" t="s">
        <v>881</v>
      </c>
      <c r="X44" s="38" t="s">
        <v>882</v>
      </c>
      <c r="Y44" s="38" t="s">
        <v>883</v>
      </c>
      <c r="Z44" s="38" t="s">
        <v>884</v>
      </c>
      <c r="AA44" s="38" t="s">
        <v>885</v>
      </c>
      <c r="AB44" s="38" t="s">
        <v>886</v>
      </c>
      <c r="AC44" s="38" t="s">
        <v>887</v>
      </c>
      <c r="AD44" s="38" t="s">
        <v>888</v>
      </c>
      <c r="AE44" s="38" t="s">
        <v>889</v>
      </c>
      <c r="AF44" s="38" t="s">
        <v>890</v>
      </c>
      <c r="AG44" s="38" t="s">
        <v>891</v>
      </c>
      <c r="AH44" s="38" t="s">
        <v>892</v>
      </c>
      <c r="AI44" s="38" t="s">
        <v>893</v>
      </c>
      <c r="AJ44" s="38" t="s">
        <v>894</v>
      </c>
    </row>
    <row r="45" spans="2:36" x14ac:dyDescent="0.25">
      <c r="B45" s="96" t="s">
        <v>1019</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1019</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25">
      <c r="B46" s="97" t="s">
        <v>1024</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1024</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25">
      <c r="B47" s="97" t="s">
        <v>1025</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1025</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25">
      <c r="B48" s="98" t="s">
        <v>1026</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1026</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25">
      <c r="B50" s="290">
        <f>HLOOKUP($B$5,Region_Table,14,0)</f>
        <v>0</v>
      </c>
      <c r="C50" s="512" t="s">
        <v>1164</v>
      </c>
      <c r="D50" s="513"/>
      <c r="E50" s="513"/>
      <c r="F50" s="513"/>
      <c r="G50" s="513"/>
      <c r="H50" s="513"/>
      <c r="I50" s="513"/>
      <c r="J50" s="513"/>
      <c r="K50" s="513"/>
      <c r="L50" s="513"/>
      <c r="M50" s="542"/>
      <c r="N50" s="542"/>
      <c r="O50" s="543"/>
      <c r="P50" s="515" cm="1">
        <f t="array" ref="P50">SUM(SUMIFS('caseload data'!V:V,'caseload data'!B:B,{"licence","community"},'caseload data'!$C:$C,B50))</f>
        <v>0</v>
      </c>
      <c r="Q50" s="532"/>
      <c r="R50" s="533"/>
      <c r="S50" s="64"/>
      <c r="T50" s="290">
        <f>HLOOKUP($B$5,Region_Table,15,0)</f>
        <v>0</v>
      </c>
      <c r="U50" s="512" t="s">
        <v>1164</v>
      </c>
      <c r="V50" s="513"/>
      <c r="W50" s="513"/>
      <c r="X50" s="513"/>
      <c r="Y50" s="513"/>
      <c r="Z50" s="513"/>
      <c r="AA50" s="513"/>
      <c r="AB50" s="513"/>
      <c r="AC50" s="513"/>
      <c r="AD50" s="513"/>
      <c r="AE50" s="542"/>
      <c r="AF50" s="542"/>
      <c r="AG50" s="543"/>
      <c r="AH50" s="515" cm="1">
        <f t="array" ref="AH50">SUM(SUMIFS('caseload data'!V:V,'caseload data'!B:B,{"licence","community"},'caseload data'!$C:$C,T50))</f>
        <v>0</v>
      </c>
      <c r="AI50" s="532"/>
      <c r="AJ50" s="533"/>
    </row>
    <row r="51" spans="2:36" x14ac:dyDescent="0.25">
      <c r="B51" s="95" t="s">
        <v>1022</v>
      </c>
      <c r="C51" s="38" t="s">
        <v>879</v>
      </c>
      <c r="D51" s="38" t="s">
        <v>880</v>
      </c>
      <c r="E51" s="38" t="s">
        <v>881</v>
      </c>
      <c r="F51" s="38" t="s">
        <v>882</v>
      </c>
      <c r="G51" s="38" t="s">
        <v>883</v>
      </c>
      <c r="H51" s="38" t="s">
        <v>884</v>
      </c>
      <c r="I51" s="38" t="s">
        <v>885</v>
      </c>
      <c r="J51" s="38" t="s">
        <v>886</v>
      </c>
      <c r="K51" s="38" t="s">
        <v>887</v>
      </c>
      <c r="L51" s="38" t="s">
        <v>888</v>
      </c>
      <c r="M51" s="38" t="s">
        <v>889</v>
      </c>
      <c r="N51" s="38" t="s">
        <v>890</v>
      </c>
      <c r="O51" s="38" t="s">
        <v>891</v>
      </c>
      <c r="P51" s="38" t="s">
        <v>892</v>
      </c>
      <c r="Q51" s="38" t="s">
        <v>893</v>
      </c>
      <c r="R51" s="38" t="s">
        <v>894</v>
      </c>
      <c r="S51" s="64"/>
      <c r="T51" s="95" t="s">
        <v>1022</v>
      </c>
      <c r="U51" s="38" t="s">
        <v>879</v>
      </c>
      <c r="V51" s="38" t="s">
        <v>880</v>
      </c>
      <c r="W51" s="38" t="s">
        <v>881</v>
      </c>
      <c r="X51" s="38" t="s">
        <v>882</v>
      </c>
      <c r="Y51" s="38" t="s">
        <v>883</v>
      </c>
      <c r="Z51" s="38" t="s">
        <v>884</v>
      </c>
      <c r="AA51" s="38" t="s">
        <v>885</v>
      </c>
      <c r="AB51" s="38" t="s">
        <v>886</v>
      </c>
      <c r="AC51" s="38" t="s">
        <v>887</v>
      </c>
      <c r="AD51" s="38" t="s">
        <v>888</v>
      </c>
      <c r="AE51" s="38" t="s">
        <v>889</v>
      </c>
      <c r="AF51" s="38" t="s">
        <v>890</v>
      </c>
      <c r="AG51" s="38" t="s">
        <v>891</v>
      </c>
      <c r="AH51" s="38" t="s">
        <v>892</v>
      </c>
      <c r="AI51" s="38" t="s">
        <v>893</v>
      </c>
      <c r="AJ51" s="38" t="s">
        <v>894</v>
      </c>
    </row>
    <row r="52" spans="2:36" x14ac:dyDescent="0.25">
      <c r="B52" s="96" t="s">
        <v>1019</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1019</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25">
      <c r="B53" s="97" t="s">
        <v>1024</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1024</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25">
      <c r="B54" s="97" t="s">
        <v>1025</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1025</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25">
      <c r="B55" s="98" t="s">
        <v>1026</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1026</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25">
      <c r="B57" s="290">
        <f>HLOOKUP($B$5,Region_Table,16,0)</f>
        <v>0</v>
      </c>
      <c r="C57" s="512" t="s">
        <v>1164</v>
      </c>
      <c r="D57" s="513"/>
      <c r="E57" s="513"/>
      <c r="F57" s="513"/>
      <c r="G57" s="513"/>
      <c r="H57" s="513"/>
      <c r="I57" s="513"/>
      <c r="J57" s="513"/>
      <c r="K57" s="513"/>
      <c r="L57" s="513"/>
      <c r="M57" s="542"/>
      <c r="N57" s="542"/>
      <c r="O57" s="543"/>
      <c r="P57" s="515" cm="1">
        <f t="array" ref="P57">SUM(SUMIFS('caseload data'!V:V,'caseload data'!B:B,{"licence","community"},'caseload data'!$C:$C,B57))</f>
        <v>0</v>
      </c>
      <c r="Q57" s="532"/>
      <c r="R57" s="533"/>
      <c r="S57" s="64"/>
      <c r="T57" s="290">
        <f>HLOOKUP($B$5,Region_Table,17,0)</f>
        <v>0</v>
      </c>
      <c r="U57" s="512" t="s">
        <v>1164</v>
      </c>
      <c r="V57" s="513"/>
      <c r="W57" s="513"/>
      <c r="X57" s="513"/>
      <c r="Y57" s="513"/>
      <c r="Z57" s="513"/>
      <c r="AA57" s="513"/>
      <c r="AB57" s="513"/>
      <c r="AC57" s="513"/>
      <c r="AD57" s="513"/>
      <c r="AE57" s="542"/>
      <c r="AF57" s="542"/>
      <c r="AG57" s="543"/>
      <c r="AH57" s="515" cm="1">
        <f t="array" ref="AH57">SUM(SUMIFS('caseload data'!V:V,'caseload data'!B:B,{"licence","community"},'caseload data'!$C:$C,T57))</f>
        <v>0</v>
      </c>
      <c r="AI57" s="532"/>
      <c r="AJ57" s="533"/>
    </row>
    <row r="58" spans="2:36" x14ac:dyDescent="0.25">
      <c r="B58" s="95" t="s">
        <v>1022</v>
      </c>
      <c r="C58" s="38" t="s">
        <v>879</v>
      </c>
      <c r="D58" s="38" t="s">
        <v>880</v>
      </c>
      <c r="E58" s="38" t="s">
        <v>881</v>
      </c>
      <c r="F58" s="38" t="s">
        <v>882</v>
      </c>
      <c r="G58" s="38" t="s">
        <v>883</v>
      </c>
      <c r="H58" s="38" t="s">
        <v>884</v>
      </c>
      <c r="I58" s="38" t="s">
        <v>885</v>
      </c>
      <c r="J58" s="38" t="s">
        <v>886</v>
      </c>
      <c r="K58" s="38" t="s">
        <v>887</v>
      </c>
      <c r="L58" s="38" t="s">
        <v>888</v>
      </c>
      <c r="M58" s="38" t="s">
        <v>889</v>
      </c>
      <c r="N58" s="38" t="s">
        <v>890</v>
      </c>
      <c r="O58" s="38" t="s">
        <v>891</v>
      </c>
      <c r="P58" s="38" t="s">
        <v>892</v>
      </c>
      <c r="Q58" s="38" t="s">
        <v>893</v>
      </c>
      <c r="R58" s="38" t="s">
        <v>894</v>
      </c>
      <c r="S58" s="64"/>
      <c r="T58" s="95" t="s">
        <v>1022</v>
      </c>
      <c r="U58" s="38" t="s">
        <v>879</v>
      </c>
      <c r="V58" s="38" t="s">
        <v>880</v>
      </c>
      <c r="W58" s="38" t="s">
        <v>881</v>
      </c>
      <c r="X58" s="38" t="s">
        <v>882</v>
      </c>
      <c r="Y58" s="38" t="s">
        <v>883</v>
      </c>
      <c r="Z58" s="38" t="s">
        <v>884</v>
      </c>
      <c r="AA58" s="38" t="s">
        <v>885</v>
      </c>
      <c r="AB58" s="38" t="s">
        <v>886</v>
      </c>
      <c r="AC58" s="38" t="s">
        <v>887</v>
      </c>
      <c r="AD58" s="38" t="s">
        <v>888</v>
      </c>
      <c r="AE58" s="38" t="s">
        <v>889</v>
      </c>
      <c r="AF58" s="38" t="s">
        <v>890</v>
      </c>
      <c r="AG58" s="38" t="s">
        <v>891</v>
      </c>
      <c r="AH58" s="38" t="s">
        <v>892</v>
      </c>
      <c r="AI58" s="38" t="s">
        <v>893</v>
      </c>
      <c r="AJ58" s="38" t="s">
        <v>894</v>
      </c>
    </row>
    <row r="59" spans="2:36" x14ac:dyDescent="0.25">
      <c r="B59" s="96" t="s">
        <v>1019</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1019</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25">
      <c r="B60" s="97" t="s">
        <v>1024</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1024</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25">
      <c r="B61" s="97" t="s">
        <v>1025</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1025</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25">
      <c r="B62" s="98" t="s">
        <v>1026</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1026</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25">
      <c r="B64" s="290">
        <f>HLOOKUP($B$5,Region_Table,18,0)</f>
        <v>0</v>
      </c>
      <c r="C64" s="512" t="s">
        <v>1164</v>
      </c>
      <c r="D64" s="513"/>
      <c r="E64" s="513"/>
      <c r="F64" s="513"/>
      <c r="G64" s="513"/>
      <c r="H64" s="513"/>
      <c r="I64" s="513"/>
      <c r="J64" s="513"/>
      <c r="K64" s="513"/>
      <c r="L64" s="513"/>
      <c r="M64" s="542"/>
      <c r="N64" s="542"/>
      <c r="O64" s="543"/>
      <c r="P64" s="515" cm="1">
        <f t="array" ref="P64">SUM(SUMIFS('caseload data'!V:V,'caseload data'!B:B,{"licence","community"},'caseload data'!$C:$C,B64))</f>
        <v>0</v>
      </c>
      <c r="Q64" s="532"/>
      <c r="R64" s="533"/>
      <c r="S64" s="64"/>
      <c r="T64" s="290">
        <f>HLOOKUP($B$5,Region_Table,19,0)</f>
        <v>0</v>
      </c>
      <c r="U64" s="512" t="s">
        <v>1164</v>
      </c>
      <c r="V64" s="513"/>
      <c r="W64" s="513"/>
      <c r="X64" s="513"/>
      <c r="Y64" s="513"/>
      <c r="Z64" s="513"/>
      <c r="AA64" s="513"/>
      <c r="AB64" s="513"/>
      <c r="AC64" s="513"/>
      <c r="AD64" s="513"/>
      <c r="AE64" s="542"/>
      <c r="AF64" s="542"/>
      <c r="AG64" s="543"/>
      <c r="AH64" s="515" cm="1">
        <f t="array" ref="AH64">SUM(SUMIFS('caseload data'!V:V,'caseload data'!B:B,{"licence","community"},'caseload data'!$C:$C,T64))</f>
        <v>0</v>
      </c>
      <c r="AI64" s="532"/>
      <c r="AJ64" s="533"/>
    </row>
    <row r="65" spans="2:36" x14ac:dyDescent="0.25">
      <c r="B65" s="95" t="s">
        <v>1022</v>
      </c>
      <c r="C65" s="38" t="s">
        <v>879</v>
      </c>
      <c r="D65" s="38" t="s">
        <v>880</v>
      </c>
      <c r="E65" s="38" t="s">
        <v>881</v>
      </c>
      <c r="F65" s="38" t="s">
        <v>882</v>
      </c>
      <c r="G65" s="38" t="s">
        <v>883</v>
      </c>
      <c r="H65" s="38" t="s">
        <v>884</v>
      </c>
      <c r="I65" s="38" t="s">
        <v>885</v>
      </c>
      <c r="J65" s="38" t="s">
        <v>886</v>
      </c>
      <c r="K65" s="38" t="s">
        <v>887</v>
      </c>
      <c r="L65" s="38" t="s">
        <v>888</v>
      </c>
      <c r="M65" s="38" t="s">
        <v>889</v>
      </c>
      <c r="N65" s="38" t="s">
        <v>890</v>
      </c>
      <c r="O65" s="38" t="s">
        <v>891</v>
      </c>
      <c r="P65" s="38" t="s">
        <v>892</v>
      </c>
      <c r="Q65" s="38" t="s">
        <v>893</v>
      </c>
      <c r="R65" s="38" t="s">
        <v>894</v>
      </c>
      <c r="S65" s="64"/>
      <c r="T65" s="95" t="s">
        <v>1022</v>
      </c>
      <c r="U65" s="38" t="s">
        <v>879</v>
      </c>
      <c r="V65" s="38" t="s">
        <v>880</v>
      </c>
      <c r="W65" s="38" t="s">
        <v>881</v>
      </c>
      <c r="X65" s="38" t="s">
        <v>882</v>
      </c>
      <c r="Y65" s="38" t="s">
        <v>883</v>
      </c>
      <c r="Z65" s="38" t="s">
        <v>884</v>
      </c>
      <c r="AA65" s="38" t="s">
        <v>885</v>
      </c>
      <c r="AB65" s="38" t="s">
        <v>886</v>
      </c>
      <c r="AC65" s="38" t="s">
        <v>887</v>
      </c>
      <c r="AD65" s="38" t="s">
        <v>888</v>
      </c>
      <c r="AE65" s="38" t="s">
        <v>889</v>
      </c>
      <c r="AF65" s="38" t="s">
        <v>890</v>
      </c>
      <c r="AG65" s="38" t="s">
        <v>891</v>
      </c>
      <c r="AH65" s="38" t="s">
        <v>892</v>
      </c>
      <c r="AI65" s="38" t="s">
        <v>893</v>
      </c>
      <c r="AJ65" s="38" t="s">
        <v>894</v>
      </c>
    </row>
    <row r="66" spans="2:36" x14ac:dyDescent="0.25">
      <c r="B66" s="96" t="s">
        <v>1019</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1019</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25">
      <c r="B67" s="97" t="s">
        <v>1024</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1024</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25">
      <c r="B68" s="97" t="s">
        <v>1025</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1025</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25">
      <c r="B69" s="98" t="s">
        <v>1026</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1026</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25">
      <c r="B71" s="290">
        <f>HLOOKUP($B$5,Region_Table,20,0)</f>
        <v>0</v>
      </c>
      <c r="C71" s="512" t="s">
        <v>1164</v>
      </c>
      <c r="D71" s="513"/>
      <c r="E71" s="513"/>
      <c r="F71" s="513"/>
      <c r="G71" s="513"/>
      <c r="H71" s="513"/>
      <c r="I71" s="513"/>
      <c r="J71" s="513"/>
      <c r="K71" s="513"/>
      <c r="L71" s="513"/>
      <c r="M71" s="542"/>
      <c r="N71" s="542"/>
      <c r="O71" s="543"/>
      <c r="P71" s="515" cm="1">
        <f t="array" ref="P71">SUM(SUMIFS('caseload data'!V:V,'caseload data'!B:B,{"licence","community"},'caseload data'!$C:$C,B71))</f>
        <v>0</v>
      </c>
      <c r="Q71" s="532"/>
      <c r="R71" s="533"/>
      <c r="T71" s="290">
        <f>HLOOKUP($B$5,Region_Table,21,0)</f>
        <v>0</v>
      </c>
      <c r="U71" s="512" t="s">
        <v>1164</v>
      </c>
      <c r="V71" s="513"/>
      <c r="W71" s="513"/>
      <c r="X71" s="513"/>
      <c r="Y71" s="513"/>
      <c r="Z71" s="513"/>
      <c r="AA71" s="513"/>
      <c r="AB71" s="513"/>
      <c r="AC71" s="513"/>
      <c r="AD71" s="513"/>
      <c r="AE71" s="542"/>
      <c r="AF71" s="542"/>
      <c r="AG71" s="543"/>
      <c r="AH71" s="515" cm="1">
        <f t="array" ref="AH71">SUM(SUMIFS('caseload data'!V:V,'caseload data'!B:B,{"licence","community"},'caseload data'!$C:$C,T71))</f>
        <v>0</v>
      </c>
      <c r="AI71" s="532"/>
      <c r="AJ71" s="533"/>
    </row>
    <row r="72" spans="2:36" x14ac:dyDescent="0.25">
      <c r="B72" s="95" t="s">
        <v>1022</v>
      </c>
      <c r="C72" s="38" t="s">
        <v>879</v>
      </c>
      <c r="D72" s="38" t="s">
        <v>880</v>
      </c>
      <c r="E72" s="38" t="s">
        <v>881</v>
      </c>
      <c r="F72" s="38" t="s">
        <v>882</v>
      </c>
      <c r="G72" s="38" t="s">
        <v>883</v>
      </c>
      <c r="H72" s="38" t="s">
        <v>884</v>
      </c>
      <c r="I72" s="38" t="s">
        <v>885</v>
      </c>
      <c r="J72" s="38" t="s">
        <v>886</v>
      </c>
      <c r="K72" s="38" t="s">
        <v>887</v>
      </c>
      <c r="L72" s="38" t="s">
        <v>888</v>
      </c>
      <c r="M72" s="38" t="s">
        <v>889</v>
      </c>
      <c r="N72" s="38" t="s">
        <v>890</v>
      </c>
      <c r="O72" s="38" t="s">
        <v>891</v>
      </c>
      <c r="P72" s="38" t="s">
        <v>892</v>
      </c>
      <c r="Q72" s="38" t="s">
        <v>893</v>
      </c>
      <c r="R72" s="38" t="s">
        <v>894</v>
      </c>
      <c r="T72" s="95" t="s">
        <v>1022</v>
      </c>
      <c r="U72" s="38" t="s">
        <v>879</v>
      </c>
      <c r="V72" s="38" t="s">
        <v>880</v>
      </c>
      <c r="W72" s="38" t="s">
        <v>881</v>
      </c>
      <c r="X72" s="38" t="s">
        <v>882</v>
      </c>
      <c r="Y72" s="38" t="s">
        <v>883</v>
      </c>
      <c r="Z72" s="38" t="s">
        <v>884</v>
      </c>
      <c r="AA72" s="38" t="s">
        <v>885</v>
      </c>
      <c r="AB72" s="38" t="s">
        <v>886</v>
      </c>
      <c r="AC72" s="38" t="s">
        <v>887</v>
      </c>
      <c r="AD72" s="38" t="s">
        <v>888</v>
      </c>
      <c r="AE72" s="38" t="s">
        <v>889</v>
      </c>
      <c r="AF72" s="38" t="s">
        <v>890</v>
      </c>
      <c r="AG72" s="38" t="s">
        <v>891</v>
      </c>
      <c r="AH72" s="38" t="s">
        <v>892</v>
      </c>
      <c r="AI72" s="38" t="s">
        <v>893</v>
      </c>
      <c r="AJ72" s="38" t="s">
        <v>894</v>
      </c>
    </row>
    <row r="73" spans="2:36" x14ac:dyDescent="0.25">
      <c r="B73" s="96" t="s">
        <v>1019</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1019</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25">
      <c r="B74" s="97" t="s">
        <v>1024</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1024</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25">
      <c r="B75" s="97" t="s">
        <v>1025</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1025</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25">
      <c r="B76" s="98" t="s">
        <v>1026</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1026</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25">
      <c r="B78" s="290">
        <f>HLOOKUP($B$5,Region_Table,22,0)</f>
        <v>0</v>
      </c>
      <c r="C78" s="512" t="s">
        <v>1164</v>
      </c>
      <c r="D78" s="513"/>
      <c r="E78" s="513"/>
      <c r="F78" s="513"/>
      <c r="G78" s="513"/>
      <c r="H78" s="513"/>
      <c r="I78" s="513"/>
      <c r="J78" s="513"/>
      <c r="K78" s="513"/>
      <c r="L78" s="513"/>
      <c r="M78" s="542"/>
      <c r="N78" s="542"/>
      <c r="O78" s="543"/>
      <c r="P78" s="515" cm="1">
        <f t="array" ref="P78">SUM(SUMIFS('caseload data'!V:V,'caseload data'!B:B,{"licence","community"},'caseload data'!$C:$C,B78))</f>
        <v>0</v>
      </c>
      <c r="Q78" s="532"/>
      <c r="R78" s="533"/>
      <c r="T78" s="290">
        <f>HLOOKUP($B$5,Region_Table,23,0)</f>
        <v>0</v>
      </c>
      <c r="U78" s="512" t="s">
        <v>1164</v>
      </c>
      <c r="V78" s="513"/>
      <c r="W78" s="513"/>
      <c r="X78" s="513"/>
      <c r="Y78" s="513"/>
      <c r="Z78" s="513"/>
      <c r="AA78" s="513"/>
      <c r="AB78" s="513"/>
      <c r="AC78" s="513"/>
      <c r="AD78" s="513"/>
      <c r="AE78" s="542"/>
      <c r="AF78" s="542"/>
      <c r="AG78" s="543"/>
      <c r="AH78" s="515" cm="1">
        <f t="array" ref="AH78">SUM(SUMIFS('caseload data'!V:V,'caseload data'!B:B,{"licence","community"},'caseload data'!$C:$C,T78))</f>
        <v>0</v>
      </c>
      <c r="AI78" s="532"/>
      <c r="AJ78" s="533"/>
    </row>
    <row r="79" spans="2:36" x14ac:dyDescent="0.25">
      <c r="B79" s="95" t="s">
        <v>1022</v>
      </c>
      <c r="C79" s="38" t="s">
        <v>879</v>
      </c>
      <c r="D79" s="38" t="s">
        <v>880</v>
      </c>
      <c r="E79" s="38" t="s">
        <v>881</v>
      </c>
      <c r="F79" s="38" t="s">
        <v>882</v>
      </c>
      <c r="G79" s="38" t="s">
        <v>883</v>
      </c>
      <c r="H79" s="38" t="s">
        <v>884</v>
      </c>
      <c r="I79" s="38" t="s">
        <v>885</v>
      </c>
      <c r="J79" s="38" t="s">
        <v>886</v>
      </c>
      <c r="K79" s="38" t="s">
        <v>887</v>
      </c>
      <c r="L79" s="38" t="s">
        <v>888</v>
      </c>
      <c r="M79" s="38" t="s">
        <v>889</v>
      </c>
      <c r="N79" s="38" t="s">
        <v>890</v>
      </c>
      <c r="O79" s="38" t="s">
        <v>891</v>
      </c>
      <c r="P79" s="38" t="s">
        <v>892</v>
      </c>
      <c r="Q79" s="38" t="s">
        <v>893</v>
      </c>
      <c r="R79" s="38" t="s">
        <v>894</v>
      </c>
      <c r="T79" s="95" t="s">
        <v>1022</v>
      </c>
      <c r="U79" s="38" t="s">
        <v>879</v>
      </c>
      <c r="V79" s="38" t="s">
        <v>880</v>
      </c>
      <c r="W79" s="38" t="s">
        <v>881</v>
      </c>
      <c r="X79" s="38" t="s">
        <v>882</v>
      </c>
      <c r="Y79" s="38" t="s">
        <v>883</v>
      </c>
      <c r="Z79" s="38" t="s">
        <v>884</v>
      </c>
      <c r="AA79" s="38" t="s">
        <v>885</v>
      </c>
      <c r="AB79" s="38" t="s">
        <v>886</v>
      </c>
      <c r="AC79" s="38" t="s">
        <v>887</v>
      </c>
      <c r="AD79" s="38" t="s">
        <v>888</v>
      </c>
      <c r="AE79" s="38" t="s">
        <v>889</v>
      </c>
      <c r="AF79" s="38" t="s">
        <v>890</v>
      </c>
      <c r="AG79" s="38" t="s">
        <v>891</v>
      </c>
      <c r="AH79" s="38" t="s">
        <v>892</v>
      </c>
      <c r="AI79" s="38" t="s">
        <v>893</v>
      </c>
      <c r="AJ79" s="38" t="s">
        <v>894</v>
      </c>
    </row>
    <row r="80" spans="2:36" x14ac:dyDescent="0.25">
      <c r="B80" s="96" t="s">
        <v>1019</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1019</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25">
      <c r="B81" s="97" t="s">
        <v>1024</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1024</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25">
      <c r="B82" s="97" t="s">
        <v>1025</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1025</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25">
      <c r="B83" s="98" t="s">
        <v>1026</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1026</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5.75" x14ac:dyDescent="0.25">
      <c r="B85" s="290">
        <f>HLOOKUP($B$5,Region_Table,24,0)</f>
        <v>0</v>
      </c>
      <c r="C85" s="512" t="s">
        <v>1164</v>
      </c>
      <c r="D85" s="513"/>
      <c r="E85" s="513"/>
      <c r="F85" s="513"/>
      <c r="G85" s="513"/>
      <c r="H85" s="513"/>
      <c r="I85" s="513"/>
      <c r="J85" s="513"/>
      <c r="K85" s="513"/>
      <c r="L85" s="513"/>
      <c r="M85" s="542"/>
      <c r="N85" s="542"/>
      <c r="O85" s="543"/>
      <c r="P85" s="515" cm="1">
        <f t="array" ref="P85">SUM(SUMIFS('caseload data'!V:V,'caseload data'!B:B,{"licence","community"},'caseload data'!$C:$C,B85))</f>
        <v>0</v>
      </c>
      <c r="Q85" s="532"/>
      <c r="R85" s="533"/>
      <c r="T85" s="290">
        <f>HLOOKUP($B$5,Region_Table,25,0)</f>
        <v>0</v>
      </c>
      <c r="U85" s="512" t="s">
        <v>1164</v>
      </c>
      <c r="V85" s="513"/>
      <c r="W85" s="513"/>
      <c r="X85" s="513"/>
      <c r="Y85" s="513"/>
      <c r="Z85" s="513"/>
      <c r="AA85" s="513"/>
      <c r="AB85" s="513"/>
      <c r="AC85" s="513"/>
      <c r="AD85" s="513"/>
      <c r="AE85" s="542"/>
      <c r="AF85" s="542"/>
      <c r="AG85" s="543"/>
      <c r="AH85" s="515" cm="1">
        <f t="array" ref="AH85">SUM(SUMIFS('caseload data'!V:V,'caseload data'!B:B,{"licence","community"},'caseload data'!$C:$C,T85))</f>
        <v>0</v>
      </c>
      <c r="AI85" s="532"/>
      <c r="AJ85" s="533"/>
    </row>
    <row r="86" spans="2:36" x14ac:dyDescent="0.25">
      <c r="B86" s="95" t="s">
        <v>1022</v>
      </c>
      <c r="C86" s="38" t="s">
        <v>879</v>
      </c>
      <c r="D86" s="38" t="s">
        <v>880</v>
      </c>
      <c r="E86" s="38" t="s">
        <v>881</v>
      </c>
      <c r="F86" s="38" t="s">
        <v>882</v>
      </c>
      <c r="G86" s="38" t="s">
        <v>883</v>
      </c>
      <c r="H86" s="38" t="s">
        <v>884</v>
      </c>
      <c r="I86" s="38" t="s">
        <v>885</v>
      </c>
      <c r="J86" s="38" t="s">
        <v>886</v>
      </c>
      <c r="K86" s="38" t="s">
        <v>887</v>
      </c>
      <c r="L86" s="38" t="s">
        <v>888</v>
      </c>
      <c r="M86" s="38" t="s">
        <v>889</v>
      </c>
      <c r="N86" s="38" t="s">
        <v>890</v>
      </c>
      <c r="O86" s="38" t="s">
        <v>891</v>
      </c>
      <c r="P86" s="38" t="s">
        <v>892</v>
      </c>
      <c r="Q86" s="38" t="s">
        <v>893</v>
      </c>
      <c r="R86" s="38" t="s">
        <v>894</v>
      </c>
      <c r="T86" s="95" t="s">
        <v>1022</v>
      </c>
      <c r="U86" s="38" t="s">
        <v>879</v>
      </c>
      <c r="V86" s="38" t="s">
        <v>880</v>
      </c>
      <c r="W86" s="38" t="s">
        <v>881</v>
      </c>
      <c r="X86" s="38" t="s">
        <v>882</v>
      </c>
      <c r="Y86" s="38" t="s">
        <v>883</v>
      </c>
      <c r="Z86" s="38" t="s">
        <v>884</v>
      </c>
      <c r="AA86" s="38" t="s">
        <v>885</v>
      </c>
      <c r="AB86" s="38" t="s">
        <v>886</v>
      </c>
      <c r="AC86" s="38" t="s">
        <v>887</v>
      </c>
      <c r="AD86" s="38" t="s">
        <v>888</v>
      </c>
      <c r="AE86" s="38" t="s">
        <v>889</v>
      </c>
      <c r="AF86" s="38" t="s">
        <v>890</v>
      </c>
      <c r="AG86" s="38" t="s">
        <v>891</v>
      </c>
      <c r="AH86" s="38" t="s">
        <v>892</v>
      </c>
      <c r="AI86" s="38" t="s">
        <v>893</v>
      </c>
      <c r="AJ86" s="38" t="s">
        <v>894</v>
      </c>
    </row>
    <row r="87" spans="2:36" x14ac:dyDescent="0.25">
      <c r="B87" s="96" t="s">
        <v>1019</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1019</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25">
      <c r="B88" s="97" t="s">
        <v>1024</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1024</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25">
      <c r="B89" s="97" t="s">
        <v>1025</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1025</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25">
      <c r="B90" s="98" t="s">
        <v>1026</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1026</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25">
      <c r="B92" s="290">
        <f>HLOOKUP($B$5,Region_Table,26,0)</f>
        <v>0</v>
      </c>
      <c r="C92" s="512" t="s">
        <v>1164</v>
      </c>
      <c r="D92" s="513"/>
      <c r="E92" s="513"/>
      <c r="F92" s="513"/>
      <c r="G92" s="513"/>
      <c r="H92" s="513"/>
      <c r="I92" s="513"/>
      <c r="J92" s="513"/>
      <c r="K92" s="513"/>
      <c r="L92" s="513"/>
      <c r="M92" s="542"/>
      <c r="N92" s="542"/>
      <c r="O92" s="543"/>
      <c r="P92" s="515" cm="1">
        <f t="array" ref="P92">SUM(SUMIFS('caseload data'!V:V,'caseload data'!B:B,{"licence","community"},'caseload data'!$C:$C,B92))</f>
        <v>0</v>
      </c>
      <c r="Q92" s="532"/>
      <c r="R92" s="533"/>
      <c r="T92" s="290">
        <f>HLOOKUP($B$5,Region_Table,27,0)</f>
        <v>0</v>
      </c>
      <c r="U92" s="512" t="s">
        <v>1164</v>
      </c>
      <c r="V92" s="513"/>
      <c r="W92" s="513"/>
      <c r="X92" s="513"/>
      <c r="Y92" s="513"/>
      <c r="Z92" s="513"/>
      <c r="AA92" s="513"/>
      <c r="AB92" s="513"/>
      <c r="AC92" s="513"/>
      <c r="AD92" s="513"/>
      <c r="AE92" s="542"/>
      <c r="AF92" s="542"/>
      <c r="AG92" s="543"/>
      <c r="AH92" s="515" cm="1">
        <f t="array" ref="AH92">SUM(SUMIFS('caseload data'!V:V,'caseload data'!B:B,{"licence","community"},'caseload data'!$C:$C,T92))</f>
        <v>0</v>
      </c>
      <c r="AI92" s="532"/>
      <c r="AJ92" s="533"/>
    </row>
    <row r="93" spans="2:36" x14ac:dyDescent="0.25">
      <c r="B93" s="95" t="s">
        <v>1022</v>
      </c>
      <c r="C93" s="38" t="s">
        <v>879</v>
      </c>
      <c r="D93" s="38" t="s">
        <v>880</v>
      </c>
      <c r="E93" s="38" t="s">
        <v>881</v>
      </c>
      <c r="F93" s="38" t="s">
        <v>882</v>
      </c>
      <c r="G93" s="38" t="s">
        <v>883</v>
      </c>
      <c r="H93" s="38" t="s">
        <v>884</v>
      </c>
      <c r="I93" s="38" t="s">
        <v>885</v>
      </c>
      <c r="J93" s="38" t="s">
        <v>886</v>
      </c>
      <c r="K93" s="38" t="s">
        <v>887</v>
      </c>
      <c r="L93" s="38" t="s">
        <v>888</v>
      </c>
      <c r="M93" s="38" t="s">
        <v>889</v>
      </c>
      <c r="N93" s="38" t="s">
        <v>890</v>
      </c>
      <c r="O93" s="38" t="s">
        <v>891</v>
      </c>
      <c r="P93" s="38" t="s">
        <v>892</v>
      </c>
      <c r="Q93" s="38" t="s">
        <v>893</v>
      </c>
      <c r="R93" s="38" t="s">
        <v>894</v>
      </c>
      <c r="T93" s="95" t="s">
        <v>1022</v>
      </c>
      <c r="U93" s="38" t="s">
        <v>879</v>
      </c>
      <c r="V93" s="38" t="s">
        <v>880</v>
      </c>
      <c r="W93" s="38" t="s">
        <v>881</v>
      </c>
      <c r="X93" s="38" t="s">
        <v>882</v>
      </c>
      <c r="Y93" s="38" t="s">
        <v>883</v>
      </c>
      <c r="Z93" s="38" t="s">
        <v>884</v>
      </c>
      <c r="AA93" s="38" t="s">
        <v>885</v>
      </c>
      <c r="AB93" s="38" t="s">
        <v>886</v>
      </c>
      <c r="AC93" s="38" t="s">
        <v>887</v>
      </c>
      <c r="AD93" s="38" t="s">
        <v>888</v>
      </c>
      <c r="AE93" s="38" t="s">
        <v>889</v>
      </c>
      <c r="AF93" s="38" t="s">
        <v>890</v>
      </c>
      <c r="AG93" s="38" t="s">
        <v>891</v>
      </c>
      <c r="AH93" s="38" t="s">
        <v>892</v>
      </c>
      <c r="AI93" s="38" t="s">
        <v>893</v>
      </c>
      <c r="AJ93" s="38" t="s">
        <v>894</v>
      </c>
    </row>
    <row r="94" spans="2:36" x14ac:dyDescent="0.25">
      <c r="B94" s="96" t="s">
        <v>1019</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1019</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25">
      <c r="B95" s="97" t="s">
        <v>1024</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1024</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25">
      <c r="B96" s="97" t="s">
        <v>1025</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1025</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25">
      <c r="B97" s="98" t="s">
        <v>1026</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1026</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25">
      <c r="B99" s="290">
        <f>HLOOKUP($B$5,Region_Table,28,0)</f>
        <v>0</v>
      </c>
      <c r="C99" s="512" t="s">
        <v>1164</v>
      </c>
      <c r="D99" s="513"/>
      <c r="E99" s="513"/>
      <c r="F99" s="513"/>
      <c r="G99" s="513"/>
      <c r="H99" s="513"/>
      <c r="I99" s="513"/>
      <c r="J99" s="513"/>
      <c r="K99" s="513"/>
      <c r="L99" s="513"/>
      <c r="M99" s="542"/>
      <c r="N99" s="542"/>
      <c r="O99" s="543"/>
      <c r="P99" s="515" cm="1">
        <f t="array" ref="P99">SUM(SUMIFS('caseload data'!V:V,'caseload data'!B:B,{"licence","community"},'caseload data'!$C:$C,B99))</f>
        <v>0</v>
      </c>
      <c r="Q99" s="532"/>
      <c r="R99" s="533"/>
      <c r="T99" s="290">
        <f>HLOOKUP($B$5,Region_Table,29,0)</f>
        <v>0</v>
      </c>
      <c r="U99" s="512" t="s">
        <v>1164</v>
      </c>
      <c r="V99" s="513"/>
      <c r="W99" s="513"/>
      <c r="X99" s="513"/>
      <c r="Y99" s="513"/>
      <c r="Z99" s="513"/>
      <c r="AA99" s="513"/>
      <c r="AB99" s="513"/>
      <c r="AC99" s="513"/>
      <c r="AD99" s="513"/>
      <c r="AE99" s="542"/>
      <c r="AF99" s="542"/>
      <c r="AG99" s="543"/>
      <c r="AH99" s="515" cm="1">
        <f t="array" ref="AH99">SUM(SUMIFS('caseload data'!V:V,'caseload data'!B:B,{"licence","community"},'caseload data'!$C:$C,T99))</f>
        <v>0</v>
      </c>
      <c r="AI99" s="532"/>
      <c r="AJ99" s="533"/>
    </row>
    <row r="100" spans="2:36" x14ac:dyDescent="0.25">
      <c r="B100" s="95" t="s">
        <v>1022</v>
      </c>
      <c r="C100" s="38" t="s">
        <v>879</v>
      </c>
      <c r="D100" s="38" t="s">
        <v>880</v>
      </c>
      <c r="E100" s="38" t="s">
        <v>881</v>
      </c>
      <c r="F100" s="38" t="s">
        <v>882</v>
      </c>
      <c r="G100" s="38" t="s">
        <v>883</v>
      </c>
      <c r="H100" s="38" t="s">
        <v>884</v>
      </c>
      <c r="I100" s="38" t="s">
        <v>885</v>
      </c>
      <c r="J100" s="38" t="s">
        <v>886</v>
      </c>
      <c r="K100" s="38" t="s">
        <v>887</v>
      </c>
      <c r="L100" s="38" t="s">
        <v>888</v>
      </c>
      <c r="M100" s="38" t="s">
        <v>889</v>
      </c>
      <c r="N100" s="38" t="s">
        <v>890</v>
      </c>
      <c r="O100" s="38" t="s">
        <v>891</v>
      </c>
      <c r="P100" s="38" t="s">
        <v>892</v>
      </c>
      <c r="Q100" s="38" t="s">
        <v>893</v>
      </c>
      <c r="R100" s="38" t="s">
        <v>894</v>
      </c>
      <c r="T100" s="291" t="s">
        <v>1022</v>
      </c>
      <c r="U100" s="38" t="s">
        <v>879</v>
      </c>
      <c r="V100" s="38" t="s">
        <v>880</v>
      </c>
      <c r="W100" s="38" t="s">
        <v>881</v>
      </c>
      <c r="X100" s="38" t="s">
        <v>882</v>
      </c>
      <c r="Y100" s="38" t="s">
        <v>883</v>
      </c>
      <c r="Z100" s="38" t="s">
        <v>884</v>
      </c>
      <c r="AA100" s="38" t="s">
        <v>885</v>
      </c>
      <c r="AB100" s="38" t="s">
        <v>886</v>
      </c>
      <c r="AC100" s="38" t="s">
        <v>887</v>
      </c>
      <c r="AD100" s="38" t="s">
        <v>888</v>
      </c>
      <c r="AE100" s="38" t="s">
        <v>889</v>
      </c>
      <c r="AF100" s="38" t="s">
        <v>890</v>
      </c>
      <c r="AG100" s="38" t="s">
        <v>891</v>
      </c>
      <c r="AH100" s="38" t="s">
        <v>892</v>
      </c>
      <c r="AI100" s="38" t="s">
        <v>893</v>
      </c>
      <c r="AJ100" s="38" t="s">
        <v>894</v>
      </c>
    </row>
    <row r="101" spans="2:36" x14ac:dyDescent="0.25">
      <c r="B101" s="96" t="s">
        <v>1019</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1019</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25">
      <c r="B102" s="97" t="s">
        <v>1024</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1024</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25">
      <c r="B103" s="97" t="s">
        <v>1025</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1025</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25">
      <c r="B104" s="98" t="s">
        <v>1026</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1026</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4" priority="671" operator="equal">
      <formula>0</formula>
    </cfRule>
    <cfRule type="cellIs" dxfId="673" priority="672" operator="notEqual">
      <formula>0</formula>
    </cfRule>
  </conditionalFormatting>
  <conditionalFormatting sqref="D11:D12">
    <cfRule type="cellIs" dxfId="672" priority="669" operator="equal">
      <formula>0</formula>
    </cfRule>
    <cfRule type="cellIs" dxfId="671" priority="670" operator="notEqual">
      <formula>0</formula>
    </cfRule>
  </conditionalFormatting>
  <conditionalFormatting sqref="E11:E12">
    <cfRule type="cellIs" dxfId="670" priority="667" operator="equal">
      <formula>0</formula>
    </cfRule>
    <cfRule type="cellIs" dxfId="669" priority="668" operator="notEqual">
      <formula>0</formula>
    </cfRule>
  </conditionalFormatting>
  <conditionalFormatting sqref="F11:F12">
    <cfRule type="cellIs" dxfId="668" priority="665" operator="equal">
      <formula>0</formula>
    </cfRule>
    <cfRule type="cellIs" dxfId="667" priority="666" operator="notEqual">
      <formula>0</formula>
    </cfRule>
  </conditionalFormatting>
  <conditionalFormatting sqref="G11:G12">
    <cfRule type="cellIs" dxfId="666" priority="663" operator="equal">
      <formula>0</formula>
    </cfRule>
    <cfRule type="cellIs" dxfId="665" priority="664" operator="notEqual">
      <formula>0</formula>
    </cfRule>
  </conditionalFormatting>
  <conditionalFormatting sqref="H11:H12">
    <cfRule type="cellIs" dxfId="664" priority="661" operator="equal">
      <formula>0</formula>
    </cfRule>
    <cfRule type="cellIs" dxfId="663" priority="662" operator="notEqual">
      <formula>0</formula>
    </cfRule>
  </conditionalFormatting>
  <conditionalFormatting sqref="I11:I12">
    <cfRule type="cellIs" dxfId="662" priority="659" operator="equal">
      <formula>0</formula>
    </cfRule>
    <cfRule type="cellIs" dxfId="661" priority="660" operator="notEqual">
      <formula>0</formula>
    </cfRule>
  </conditionalFormatting>
  <conditionalFormatting sqref="J11:J12">
    <cfRule type="cellIs" dxfId="660" priority="657" operator="equal">
      <formula>0</formula>
    </cfRule>
    <cfRule type="cellIs" dxfId="659" priority="658" operator="notEqual">
      <formula>0</formula>
    </cfRule>
  </conditionalFormatting>
  <conditionalFormatting sqref="O10">
    <cfRule type="cellIs" dxfId="658" priority="655" operator="equal">
      <formula>0</formula>
    </cfRule>
    <cfRule type="cellIs" dxfId="657" priority="656" operator="greaterThan">
      <formula>0</formula>
    </cfRule>
  </conditionalFormatting>
  <conditionalFormatting sqref="P10">
    <cfRule type="cellIs" dxfId="656" priority="653" operator="equal">
      <formula>0</formula>
    </cfRule>
    <cfRule type="cellIs" dxfId="655" priority="654" operator="greaterThan">
      <formula>0</formula>
    </cfRule>
  </conditionalFormatting>
  <conditionalFormatting sqref="Q10">
    <cfRule type="cellIs" dxfId="654" priority="651" operator="equal">
      <formula>0</formula>
    </cfRule>
    <cfRule type="cellIs" dxfId="653" priority="652" operator="greaterThan">
      <formula>0</formula>
    </cfRule>
  </conditionalFormatting>
  <conditionalFormatting sqref="R10">
    <cfRule type="cellIs" dxfId="652" priority="649" operator="equal">
      <formula>0</formula>
    </cfRule>
    <cfRule type="cellIs" dxfId="651" priority="650" operator="greaterThan">
      <formula>0</formula>
    </cfRule>
  </conditionalFormatting>
  <conditionalFormatting sqref="C18:C19">
    <cfRule type="cellIs" dxfId="650" priority="647" operator="equal">
      <formula>0</formula>
    </cfRule>
    <cfRule type="cellIs" dxfId="649" priority="648" operator="notEqual">
      <formula>0</formula>
    </cfRule>
  </conditionalFormatting>
  <conditionalFormatting sqref="D18:D19">
    <cfRule type="cellIs" dxfId="648" priority="645" operator="equal">
      <formula>0</formula>
    </cfRule>
    <cfRule type="cellIs" dxfId="647" priority="646" operator="notEqual">
      <formula>0</formula>
    </cfRule>
  </conditionalFormatting>
  <conditionalFormatting sqref="E18:E19">
    <cfRule type="cellIs" dxfId="646" priority="643" operator="equal">
      <formula>0</formula>
    </cfRule>
    <cfRule type="cellIs" dxfId="645" priority="644" operator="notEqual">
      <formula>0</formula>
    </cfRule>
  </conditionalFormatting>
  <conditionalFormatting sqref="F18:F19">
    <cfRule type="cellIs" dxfId="644" priority="641" operator="equal">
      <formula>0</formula>
    </cfRule>
    <cfRule type="cellIs" dxfId="643" priority="642" operator="notEqual">
      <formula>0</formula>
    </cfRule>
  </conditionalFormatting>
  <conditionalFormatting sqref="G18:G19">
    <cfRule type="cellIs" dxfId="642" priority="639" operator="equal">
      <formula>0</formula>
    </cfRule>
    <cfRule type="cellIs" dxfId="641" priority="640" operator="notEqual">
      <formula>0</formula>
    </cfRule>
  </conditionalFormatting>
  <conditionalFormatting sqref="H18:H19">
    <cfRule type="cellIs" dxfId="640" priority="637" operator="equal">
      <formula>0</formula>
    </cfRule>
    <cfRule type="cellIs" dxfId="639" priority="638" operator="notEqual">
      <formula>0</formula>
    </cfRule>
  </conditionalFormatting>
  <conditionalFormatting sqref="I18:I19">
    <cfRule type="cellIs" dxfId="638" priority="635" operator="equal">
      <formula>0</formula>
    </cfRule>
    <cfRule type="cellIs" dxfId="637" priority="636" operator="notEqual">
      <formula>0</formula>
    </cfRule>
  </conditionalFormatting>
  <conditionalFormatting sqref="J18:J19">
    <cfRule type="cellIs" dxfId="636" priority="633" operator="equal">
      <formula>0</formula>
    </cfRule>
    <cfRule type="cellIs" dxfId="635" priority="634" operator="notEqual">
      <formula>0</formula>
    </cfRule>
  </conditionalFormatting>
  <conditionalFormatting sqref="O17">
    <cfRule type="cellIs" dxfId="634" priority="631" operator="equal">
      <formula>0</formula>
    </cfRule>
    <cfRule type="cellIs" dxfId="633" priority="632" operator="greaterThan">
      <formula>0</formula>
    </cfRule>
  </conditionalFormatting>
  <conditionalFormatting sqref="P17">
    <cfRule type="cellIs" dxfId="632" priority="629" operator="equal">
      <formula>0</formula>
    </cfRule>
    <cfRule type="cellIs" dxfId="631" priority="630" operator="greaterThan">
      <formula>0</formula>
    </cfRule>
  </conditionalFormatting>
  <conditionalFormatting sqref="Q17">
    <cfRule type="cellIs" dxfId="630" priority="627" operator="equal">
      <formula>0</formula>
    </cfRule>
    <cfRule type="cellIs" dxfId="629" priority="628" operator="greaterThan">
      <formula>0</formula>
    </cfRule>
  </conditionalFormatting>
  <conditionalFormatting sqref="R17">
    <cfRule type="cellIs" dxfId="628" priority="625" operator="equal">
      <formula>0</formula>
    </cfRule>
    <cfRule type="cellIs" dxfId="627" priority="626" operator="greaterThan">
      <formula>0</formula>
    </cfRule>
  </conditionalFormatting>
  <conditionalFormatting sqref="C25:C26">
    <cfRule type="cellIs" dxfId="626" priority="623" operator="equal">
      <formula>0</formula>
    </cfRule>
    <cfRule type="cellIs" dxfId="625" priority="624" operator="notEqual">
      <formula>0</formula>
    </cfRule>
  </conditionalFormatting>
  <conditionalFormatting sqref="D25:D26">
    <cfRule type="cellIs" dxfId="624" priority="621" operator="equal">
      <formula>0</formula>
    </cfRule>
    <cfRule type="cellIs" dxfId="623" priority="622" operator="notEqual">
      <formula>0</formula>
    </cfRule>
  </conditionalFormatting>
  <conditionalFormatting sqref="E25:E26">
    <cfRule type="cellIs" dxfId="622" priority="619" operator="equal">
      <formula>0</formula>
    </cfRule>
    <cfRule type="cellIs" dxfId="621" priority="620" operator="notEqual">
      <formula>0</formula>
    </cfRule>
  </conditionalFormatting>
  <conditionalFormatting sqref="F25:F26">
    <cfRule type="cellIs" dxfId="620" priority="617" operator="equal">
      <formula>0</formula>
    </cfRule>
    <cfRule type="cellIs" dxfId="619" priority="618" operator="notEqual">
      <formula>0</formula>
    </cfRule>
  </conditionalFormatting>
  <conditionalFormatting sqref="G25:G26">
    <cfRule type="cellIs" dxfId="618" priority="615" operator="equal">
      <formula>0</formula>
    </cfRule>
    <cfRule type="cellIs" dxfId="617" priority="616" operator="notEqual">
      <formula>0</formula>
    </cfRule>
  </conditionalFormatting>
  <conditionalFormatting sqref="H25:H26">
    <cfRule type="cellIs" dxfId="616" priority="613" operator="equal">
      <formula>0</formula>
    </cfRule>
    <cfRule type="cellIs" dxfId="615" priority="614" operator="notEqual">
      <formula>0</formula>
    </cfRule>
  </conditionalFormatting>
  <conditionalFormatting sqref="I25:I26">
    <cfRule type="cellIs" dxfId="614" priority="611" operator="equal">
      <formula>0</formula>
    </cfRule>
    <cfRule type="cellIs" dxfId="613" priority="612" operator="notEqual">
      <formula>0</formula>
    </cfRule>
  </conditionalFormatting>
  <conditionalFormatting sqref="J25:J26">
    <cfRule type="cellIs" dxfId="612" priority="609" operator="equal">
      <formula>0</formula>
    </cfRule>
    <cfRule type="cellIs" dxfId="611" priority="610" operator="notEqual">
      <formula>0</formula>
    </cfRule>
  </conditionalFormatting>
  <conditionalFormatting sqref="O24">
    <cfRule type="cellIs" dxfId="610" priority="607" operator="equal">
      <formula>0</formula>
    </cfRule>
    <cfRule type="cellIs" dxfId="609" priority="608" operator="greaterThan">
      <formula>0</formula>
    </cfRule>
  </conditionalFormatting>
  <conditionalFormatting sqref="P24">
    <cfRule type="cellIs" dxfId="608" priority="605" operator="equal">
      <formula>0</formula>
    </cfRule>
    <cfRule type="cellIs" dxfId="607" priority="606" operator="greaterThan">
      <formula>0</formula>
    </cfRule>
  </conditionalFormatting>
  <conditionalFormatting sqref="Q24">
    <cfRule type="cellIs" dxfId="606" priority="603" operator="equal">
      <formula>0</formula>
    </cfRule>
    <cfRule type="cellIs" dxfId="605" priority="604" operator="greaterThan">
      <formula>0</formula>
    </cfRule>
  </conditionalFormatting>
  <conditionalFormatting sqref="R24">
    <cfRule type="cellIs" dxfId="604" priority="601" operator="equal">
      <formula>0</formula>
    </cfRule>
    <cfRule type="cellIs" dxfId="603" priority="602" operator="greaterThan">
      <formula>0</formula>
    </cfRule>
  </conditionalFormatting>
  <conditionalFormatting sqref="C32:C33">
    <cfRule type="cellIs" dxfId="602" priority="599" operator="equal">
      <formula>0</formula>
    </cfRule>
    <cfRule type="cellIs" dxfId="601" priority="600" operator="notEqual">
      <formula>0</formula>
    </cfRule>
  </conditionalFormatting>
  <conditionalFormatting sqref="D32:D33">
    <cfRule type="cellIs" dxfId="600" priority="597" operator="equal">
      <formula>0</formula>
    </cfRule>
    <cfRule type="cellIs" dxfId="599" priority="598" operator="notEqual">
      <formula>0</formula>
    </cfRule>
  </conditionalFormatting>
  <conditionalFormatting sqref="E32:E33">
    <cfRule type="cellIs" dxfId="598" priority="595" operator="equal">
      <formula>0</formula>
    </cfRule>
    <cfRule type="cellIs" dxfId="597" priority="596" operator="notEqual">
      <formula>0</formula>
    </cfRule>
  </conditionalFormatting>
  <conditionalFormatting sqref="F32:F33">
    <cfRule type="cellIs" dxfId="596" priority="593" operator="equal">
      <formula>0</formula>
    </cfRule>
    <cfRule type="cellIs" dxfId="595" priority="594" operator="notEqual">
      <formula>0</formula>
    </cfRule>
  </conditionalFormatting>
  <conditionalFormatting sqref="G32:G33">
    <cfRule type="cellIs" dxfId="594" priority="591" operator="equal">
      <formula>0</formula>
    </cfRule>
    <cfRule type="cellIs" dxfId="593" priority="592" operator="notEqual">
      <formula>0</formula>
    </cfRule>
  </conditionalFormatting>
  <conditionalFormatting sqref="H32:H33">
    <cfRule type="cellIs" dxfId="592" priority="589" operator="equal">
      <formula>0</formula>
    </cfRule>
    <cfRule type="cellIs" dxfId="591" priority="590" operator="notEqual">
      <formula>0</formula>
    </cfRule>
  </conditionalFormatting>
  <conditionalFormatting sqref="I32:I33">
    <cfRule type="cellIs" dxfId="590" priority="587" operator="equal">
      <formula>0</formula>
    </cfRule>
    <cfRule type="cellIs" dxfId="589" priority="588" operator="notEqual">
      <formula>0</formula>
    </cfRule>
  </conditionalFormatting>
  <conditionalFormatting sqref="J32:J33">
    <cfRule type="cellIs" dxfId="588" priority="585" operator="equal">
      <formula>0</formula>
    </cfRule>
    <cfRule type="cellIs" dxfId="587" priority="586" operator="notEqual">
      <formula>0</formula>
    </cfRule>
  </conditionalFormatting>
  <conditionalFormatting sqref="O31">
    <cfRule type="cellIs" dxfId="586" priority="583" operator="equal">
      <formula>0</formula>
    </cfRule>
    <cfRule type="cellIs" dxfId="585" priority="584" operator="greaterThan">
      <formula>0</formula>
    </cfRule>
  </conditionalFormatting>
  <conditionalFormatting sqref="P31">
    <cfRule type="cellIs" dxfId="584" priority="581" operator="equal">
      <formula>0</formula>
    </cfRule>
    <cfRule type="cellIs" dxfId="583" priority="582" operator="greaterThan">
      <formula>0</formula>
    </cfRule>
  </conditionalFormatting>
  <conditionalFormatting sqref="Q31">
    <cfRule type="cellIs" dxfId="582" priority="579" operator="equal">
      <formula>0</formula>
    </cfRule>
    <cfRule type="cellIs" dxfId="581" priority="580" operator="greaterThan">
      <formula>0</formula>
    </cfRule>
  </conditionalFormatting>
  <conditionalFormatting sqref="R31">
    <cfRule type="cellIs" dxfId="580" priority="577" operator="equal">
      <formula>0</formula>
    </cfRule>
    <cfRule type="cellIs" dxfId="579" priority="578" operator="greaterThan">
      <formula>0</formula>
    </cfRule>
  </conditionalFormatting>
  <conditionalFormatting sqref="C39:C40">
    <cfRule type="cellIs" dxfId="578" priority="575" operator="equal">
      <formula>0</formula>
    </cfRule>
    <cfRule type="cellIs" dxfId="577" priority="576" operator="notEqual">
      <formula>0</formula>
    </cfRule>
  </conditionalFormatting>
  <conditionalFormatting sqref="D39:D40">
    <cfRule type="cellIs" dxfId="576" priority="573" operator="equal">
      <formula>0</formula>
    </cfRule>
    <cfRule type="cellIs" dxfId="575" priority="574" operator="notEqual">
      <formula>0</formula>
    </cfRule>
  </conditionalFormatting>
  <conditionalFormatting sqref="E39:E40">
    <cfRule type="cellIs" dxfId="574" priority="571" operator="equal">
      <formula>0</formula>
    </cfRule>
    <cfRule type="cellIs" dxfId="573" priority="572" operator="notEqual">
      <formula>0</formula>
    </cfRule>
  </conditionalFormatting>
  <conditionalFormatting sqref="F39:F40">
    <cfRule type="cellIs" dxfId="572" priority="569" operator="equal">
      <formula>0</formula>
    </cfRule>
    <cfRule type="cellIs" dxfId="571" priority="570" operator="notEqual">
      <formula>0</formula>
    </cfRule>
  </conditionalFormatting>
  <conditionalFormatting sqref="G39:G40">
    <cfRule type="cellIs" dxfId="570" priority="567" operator="equal">
      <formula>0</formula>
    </cfRule>
    <cfRule type="cellIs" dxfId="569" priority="568" operator="notEqual">
      <formula>0</formula>
    </cfRule>
  </conditionalFormatting>
  <conditionalFormatting sqref="H39:H40">
    <cfRule type="cellIs" dxfId="568" priority="565" operator="equal">
      <formula>0</formula>
    </cfRule>
    <cfRule type="cellIs" dxfId="567" priority="566" operator="notEqual">
      <formula>0</formula>
    </cfRule>
  </conditionalFormatting>
  <conditionalFormatting sqref="I39:I40">
    <cfRule type="cellIs" dxfId="566" priority="563" operator="equal">
      <formula>0</formula>
    </cfRule>
    <cfRule type="cellIs" dxfId="565" priority="564" operator="notEqual">
      <formula>0</formula>
    </cfRule>
  </conditionalFormatting>
  <conditionalFormatting sqref="J39:J40">
    <cfRule type="cellIs" dxfId="564" priority="561" operator="equal">
      <formula>0</formula>
    </cfRule>
    <cfRule type="cellIs" dxfId="563" priority="562" operator="notEqual">
      <formula>0</formula>
    </cfRule>
  </conditionalFormatting>
  <conditionalFormatting sqref="O38">
    <cfRule type="cellIs" dxfId="562" priority="559" operator="equal">
      <formula>0</formula>
    </cfRule>
    <cfRule type="cellIs" dxfId="561" priority="560" operator="greaterThan">
      <formula>0</formula>
    </cfRule>
  </conditionalFormatting>
  <conditionalFormatting sqref="P38">
    <cfRule type="cellIs" dxfId="560" priority="557" operator="equal">
      <formula>0</formula>
    </cfRule>
    <cfRule type="cellIs" dxfId="559" priority="558" operator="greaterThan">
      <formula>0</formula>
    </cfRule>
  </conditionalFormatting>
  <conditionalFormatting sqref="Q38">
    <cfRule type="cellIs" dxfId="558" priority="555" operator="equal">
      <formula>0</formula>
    </cfRule>
    <cfRule type="cellIs" dxfId="557" priority="556" operator="greaterThan">
      <formula>0</formula>
    </cfRule>
  </conditionalFormatting>
  <conditionalFormatting sqref="R38">
    <cfRule type="cellIs" dxfId="556" priority="553" operator="equal">
      <formula>0</formula>
    </cfRule>
    <cfRule type="cellIs" dxfId="555" priority="554" operator="greaterThan">
      <formula>0</formula>
    </cfRule>
  </conditionalFormatting>
  <conditionalFormatting sqref="C46:C47">
    <cfRule type="cellIs" dxfId="554" priority="551" operator="equal">
      <formula>0</formula>
    </cfRule>
    <cfRule type="cellIs" dxfId="553" priority="552" operator="notEqual">
      <formula>0</formula>
    </cfRule>
  </conditionalFormatting>
  <conditionalFormatting sqref="D46:D47">
    <cfRule type="cellIs" dxfId="552" priority="549" operator="equal">
      <formula>0</formula>
    </cfRule>
    <cfRule type="cellIs" dxfId="551" priority="550" operator="notEqual">
      <formula>0</formula>
    </cfRule>
  </conditionalFormatting>
  <conditionalFormatting sqref="E46:E47">
    <cfRule type="cellIs" dxfId="550" priority="547" operator="equal">
      <formula>0</formula>
    </cfRule>
    <cfRule type="cellIs" dxfId="549" priority="548" operator="notEqual">
      <formula>0</formula>
    </cfRule>
  </conditionalFormatting>
  <conditionalFormatting sqref="F46:F47">
    <cfRule type="cellIs" dxfId="548" priority="545" operator="equal">
      <formula>0</formula>
    </cfRule>
    <cfRule type="cellIs" dxfId="547" priority="546" operator="notEqual">
      <formula>0</formula>
    </cfRule>
  </conditionalFormatting>
  <conditionalFormatting sqref="G46:G47">
    <cfRule type="cellIs" dxfId="546" priority="543" operator="equal">
      <formula>0</formula>
    </cfRule>
    <cfRule type="cellIs" dxfId="545" priority="544" operator="notEqual">
      <formula>0</formula>
    </cfRule>
  </conditionalFormatting>
  <conditionalFormatting sqref="H46:H47">
    <cfRule type="cellIs" dxfId="544" priority="541" operator="equal">
      <formula>0</formula>
    </cfRule>
    <cfRule type="cellIs" dxfId="543" priority="542" operator="notEqual">
      <formula>0</formula>
    </cfRule>
  </conditionalFormatting>
  <conditionalFormatting sqref="I46:I47">
    <cfRule type="cellIs" dxfId="542" priority="539" operator="equal">
      <formula>0</formula>
    </cfRule>
    <cfRule type="cellIs" dxfId="541" priority="540" operator="notEqual">
      <formula>0</formula>
    </cfRule>
  </conditionalFormatting>
  <conditionalFormatting sqref="J46:J47">
    <cfRule type="cellIs" dxfId="540" priority="537" operator="equal">
      <formula>0</formula>
    </cfRule>
    <cfRule type="cellIs" dxfId="539" priority="538" operator="notEqual">
      <formula>0</formula>
    </cfRule>
  </conditionalFormatting>
  <conditionalFormatting sqref="O45">
    <cfRule type="cellIs" dxfId="538" priority="535" operator="equal">
      <formula>0</formula>
    </cfRule>
    <cfRule type="cellIs" dxfId="537" priority="536" operator="greaterThan">
      <formula>0</formula>
    </cfRule>
  </conditionalFormatting>
  <conditionalFormatting sqref="P45">
    <cfRule type="cellIs" dxfId="536" priority="533" operator="equal">
      <formula>0</formula>
    </cfRule>
    <cfRule type="cellIs" dxfId="535" priority="534" operator="greaterThan">
      <formula>0</formula>
    </cfRule>
  </conditionalFormatting>
  <conditionalFormatting sqref="Q45">
    <cfRule type="cellIs" dxfId="534" priority="531" operator="equal">
      <formula>0</formula>
    </cfRule>
    <cfRule type="cellIs" dxfId="533" priority="532" operator="greaterThan">
      <formula>0</formula>
    </cfRule>
  </conditionalFormatting>
  <conditionalFormatting sqref="R45">
    <cfRule type="cellIs" dxfId="532" priority="529" operator="equal">
      <formula>0</formula>
    </cfRule>
    <cfRule type="cellIs" dxfId="531" priority="530" operator="greaterThan">
      <formula>0</formula>
    </cfRule>
  </conditionalFormatting>
  <conditionalFormatting sqref="C53:C54">
    <cfRule type="cellIs" dxfId="530" priority="527" operator="equal">
      <formula>0</formula>
    </cfRule>
    <cfRule type="cellIs" dxfId="529" priority="528" operator="notEqual">
      <formula>0</formula>
    </cfRule>
  </conditionalFormatting>
  <conditionalFormatting sqref="D53:D54">
    <cfRule type="cellIs" dxfId="528" priority="525" operator="equal">
      <formula>0</formula>
    </cfRule>
    <cfRule type="cellIs" dxfId="527" priority="526" operator="notEqual">
      <formula>0</formula>
    </cfRule>
  </conditionalFormatting>
  <conditionalFormatting sqref="E53:E54">
    <cfRule type="cellIs" dxfId="526" priority="523" operator="equal">
      <formula>0</formula>
    </cfRule>
    <cfRule type="cellIs" dxfId="525" priority="524" operator="notEqual">
      <formula>0</formula>
    </cfRule>
  </conditionalFormatting>
  <conditionalFormatting sqref="F53:F54">
    <cfRule type="cellIs" dxfId="524" priority="521" operator="equal">
      <formula>0</formula>
    </cfRule>
    <cfRule type="cellIs" dxfId="523" priority="522" operator="notEqual">
      <formula>0</formula>
    </cfRule>
  </conditionalFormatting>
  <conditionalFormatting sqref="G53:G54">
    <cfRule type="cellIs" dxfId="522" priority="519" operator="equal">
      <formula>0</formula>
    </cfRule>
    <cfRule type="cellIs" dxfId="521" priority="520" operator="notEqual">
      <formula>0</formula>
    </cfRule>
  </conditionalFormatting>
  <conditionalFormatting sqref="H53:H54">
    <cfRule type="cellIs" dxfId="520" priority="517" operator="equal">
      <formula>0</formula>
    </cfRule>
    <cfRule type="cellIs" dxfId="519" priority="518" operator="notEqual">
      <formula>0</formula>
    </cfRule>
  </conditionalFormatting>
  <conditionalFormatting sqref="I53:I54">
    <cfRule type="cellIs" dxfId="518" priority="515" operator="equal">
      <formula>0</formula>
    </cfRule>
    <cfRule type="cellIs" dxfId="517" priority="516" operator="notEqual">
      <formula>0</formula>
    </cfRule>
  </conditionalFormatting>
  <conditionalFormatting sqref="J53:J54">
    <cfRule type="cellIs" dxfId="516" priority="513" operator="equal">
      <formula>0</formula>
    </cfRule>
    <cfRule type="cellIs" dxfId="515" priority="514" operator="notEqual">
      <formula>0</formula>
    </cfRule>
  </conditionalFormatting>
  <conditionalFormatting sqref="O52">
    <cfRule type="cellIs" dxfId="514" priority="511" operator="equal">
      <formula>0</formula>
    </cfRule>
    <cfRule type="cellIs" dxfId="513" priority="512" operator="greaterThan">
      <formula>0</formula>
    </cfRule>
  </conditionalFormatting>
  <conditionalFormatting sqref="P52">
    <cfRule type="cellIs" dxfId="512" priority="509" operator="equal">
      <formula>0</formula>
    </cfRule>
    <cfRule type="cellIs" dxfId="511" priority="510" operator="greaterThan">
      <formula>0</formula>
    </cfRule>
  </conditionalFormatting>
  <conditionalFormatting sqref="Q52">
    <cfRule type="cellIs" dxfId="510" priority="507" operator="equal">
      <formula>0</formula>
    </cfRule>
    <cfRule type="cellIs" dxfId="509" priority="508" operator="greaterThan">
      <formula>0</formula>
    </cfRule>
  </conditionalFormatting>
  <conditionalFormatting sqref="R52">
    <cfRule type="cellIs" dxfId="508" priority="505" operator="equal">
      <formula>0</formula>
    </cfRule>
    <cfRule type="cellIs" dxfId="507" priority="506" operator="greaterThan">
      <formula>0</formula>
    </cfRule>
  </conditionalFormatting>
  <conditionalFormatting sqref="C60:C61">
    <cfRule type="cellIs" dxfId="506" priority="503" operator="equal">
      <formula>0</formula>
    </cfRule>
    <cfRule type="cellIs" dxfId="505" priority="504" operator="notEqual">
      <formula>0</formula>
    </cfRule>
  </conditionalFormatting>
  <conditionalFormatting sqref="D60:D61">
    <cfRule type="cellIs" dxfId="504" priority="501" operator="equal">
      <formula>0</formula>
    </cfRule>
    <cfRule type="cellIs" dxfId="503" priority="502" operator="notEqual">
      <formula>0</formula>
    </cfRule>
  </conditionalFormatting>
  <conditionalFormatting sqref="E60:E61">
    <cfRule type="cellIs" dxfId="502" priority="499" operator="equal">
      <formula>0</formula>
    </cfRule>
    <cfRule type="cellIs" dxfId="501" priority="500" operator="notEqual">
      <formula>0</formula>
    </cfRule>
  </conditionalFormatting>
  <conditionalFormatting sqref="F60:F61">
    <cfRule type="cellIs" dxfId="500" priority="497" operator="equal">
      <formula>0</formula>
    </cfRule>
    <cfRule type="cellIs" dxfId="499" priority="498" operator="notEqual">
      <formula>0</formula>
    </cfRule>
  </conditionalFormatting>
  <conditionalFormatting sqref="G60:G61">
    <cfRule type="cellIs" dxfId="498" priority="495" operator="equal">
      <formula>0</formula>
    </cfRule>
    <cfRule type="cellIs" dxfId="497" priority="496" operator="notEqual">
      <formula>0</formula>
    </cfRule>
  </conditionalFormatting>
  <conditionalFormatting sqref="H60:H61">
    <cfRule type="cellIs" dxfId="496" priority="493" operator="equal">
      <formula>0</formula>
    </cfRule>
    <cfRule type="cellIs" dxfId="495" priority="494" operator="notEqual">
      <formula>0</formula>
    </cfRule>
  </conditionalFormatting>
  <conditionalFormatting sqref="I60:I61">
    <cfRule type="cellIs" dxfId="494" priority="491" operator="equal">
      <formula>0</formula>
    </cfRule>
    <cfRule type="cellIs" dxfId="493" priority="492" operator="notEqual">
      <formula>0</formula>
    </cfRule>
  </conditionalFormatting>
  <conditionalFormatting sqref="J60:J61">
    <cfRule type="cellIs" dxfId="492" priority="489" operator="equal">
      <formula>0</formula>
    </cfRule>
    <cfRule type="cellIs" dxfId="491" priority="490" operator="notEqual">
      <formula>0</formula>
    </cfRule>
  </conditionalFormatting>
  <conditionalFormatting sqref="O59">
    <cfRule type="cellIs" dxfId="490" priority="487" operator="equal">
      <formula>0</formula>
    </cfRule>
    <cfRule type="cellIs" dxfId="489" priority="488" operator="greaterThan">
      <formula>0</formula>
    </cfRule>
  </conditionalFormatting>
  <conditionalFormatting sqref="P59">
    <cfRule type="cellIs" dxfId="488" priority="485" operator="equal">
      <formula>0</formula>
    </cfRule>
    <cfRule type="cellIs" dxfId="487" priority="486" operator="greaterThan">
      <formula>0</formula>
    </cfRule>
  </conditionalFormatting>
  <conditionalFormatting sqref="Q59">
    <cfRule type="cellIs" dxfId="486" priority="483" operator="equal">
      <formula>0</formula>
    </cfRule>
    <cfRule type="cellIs" dxfId="485" priority="484" operator="greaterThan">
      <formula>0</formula>
    </cfRule>
  </conditionalFormatting>
  <conditionalFormatting sqref="R59">
    <cfRule type="cellIs" dxfId="484" priority="481" operator="equal">
      <formula>0</formula>
    </cfRule>
    <cfRule type="cellIs" dxfId="483" priority="482" operator="greaterThan">
      <formula>0</formula>
    </cfRule>
  </conditionalFormatting>
  <conditionalFormatting sqref="C67:C68">
    <cfRule type="cellIs" dxfId="482" priority="479" operator="equal">
      <formula>0</formula>
    </cfRule>
    <cfRule type="cellIs" dxfId="481" priority="480" operator="notEqual">
      <formula>0</formula>
    </cfRule>
  </conditionalFormatting>
  <conditionalFormatting sqref="D67:D68">
    <cfRule type="cellIs" dxfId="480" priority="477" operator="equal">
      <formula>0</formula>
    </cfRule>
    <cfRule type="cellIs" dxfId="479" priority="478" operator="notEqual">
      <formula>0</formula>
    </cfRule>
  </conditionalFormatting>
  <conditionalFormatting sqref="E67:E68">
    <cfRule type="cellIs" dxfId="478" priority="475" operator="equal">
      <formula>0</formula>
    </cfRule>
    <cfRule type="cellIs" dxfId="477" priority="476" operator="notEqual">
      <formula>0</formula>
    </cfRule>
  </conditionalFormatting>
  <conditionalFormatting sqref="F67:F68">
    <cfRule type="cellIs" dxfId="476" priority="473" operator="equal">
      <formula>0</formula>
    </cfRule>
    <cfRule type="cellIs" dxfId="475" priority="474" operator="notEqual">
      <formula>0</formula>
    </cfRule>
  </conditionalFormatting>
  <conditionalFormatting sqref="G67:G68">
    <cfRule type="cellIs" dxfId="474" priority="471" operator="equal">
      <formula>0</formula>
    </cfRule>
    <cfRule type="cellIs" dxfId="473" priority="472" operator="notEqual">
      <formula>0</formula>
    </cfRule>
  </conditionalFormatting>
  <conditionalFormatting sqref="H67:H68">
    <cfRule type="cellIs" dxfId="472" priority="469" operator="equal">
      <formula>0</formula>
    </cfRule>
    <cfRule type="cellIs" dxfId="471" priority="470" operator="notEqual">
      <formula>0</formula>
    </cfRule>
  </conditionalFormatting>
  <conditionalFormatting sqref="I67:I68">
    <cfRule type="cellIs" dxfId="470" priority="467" operator="equal">
      <formula>0</formula>
    </cfRule>
    <cfRule type="cellIs" dxfId="469" priority="468" operator="notEqual">
      <formula>0</formula>
    </cfRule>
  </conditionalFormatting>
  <conditionalFormatting sqref="J67:J68">
    <cfRule type="cellIs" dxfId="468" priority="465" operator="equal">
      <formula>0</formula>
    </cfRule>
    <cfRule type="cellIs" dxfId="467" priority="466" operator="notEqual">
      <formula>0</formula>
    </cfRule>
  </conditionalFormatting>
  <conditionalFormatting sqref="O66">
    <cfRule type="cellIs" dxfId="466" priority="463" operator="equal">
      <formula>0</formula>
    </cfRule>
    <cfRule type="cellIs" dxfId="465" priority="464" operator="greaterThan">
      <formula>0</formula>
    </cfRule>
  </conditionalFormatting>
  <conditionalFormatting sqref="P66">
    <cfRule type="cellIs" dxfId="464" priority="461" operator="equal">
      <formula>0</formula>
    </cfRule>
    <cfRule type="cellIs" dxfId="463" priority="462" operator="greaterThan">
      <formula>0</formula>
    </cfRule>
  </conditionalFormatting>
  <conditionalFormatting sqref="Q66">
    <cfRule type="cellIs" dxfId="462" priority="459" operator="equal">
      <formula>0</formula>
    </cfRule>
    <cfRule type="cellIs" dxfId="461" priority="460" operator="greaterThan">
      <formula>0</formula>
    </cfRule>
  </conditionalFormatting>
  <conditionalFormatting sqref="R66">
    <cfRule type="cellIs" dxfId="460" priority="457" operator="equal">
      <formula>0</formula>
    </cfRule>
    <cfRule type="cellIs" dxfId="459" priority="458" operator="greaterThan">
      <formula>0</formula>
    </cfRule>
  </conditionalFormatting>
  <conditionalFormatting sqref="C74:C75">
    <cfRule type="cellIs" dxfId="458" priority="455" operator="equal">
      <formula>0</formula>
    </cfRule>
    <cfRule type="cellIs" dxfId="457" priority="456" operator="notEqual">
      <formula>0</formula>
    </cfRule>
  </conditionalFormatting>
  <conditionalFormatting sqref="D74:D75">
    <cfRule type="cellIs" dxfId="456" priority="453" operator="equal">
      <formula>0</formula>
    </cfRule>
    <cfRule type="cellIs" dxfId="455" priority="454" operator="notEqual">
      <formula>0</formula>
    </cfRule>
  </conditionalFormatting>
  <conditionalFormatting sqref="E74:E75">
    <cfRule type="cellIs" dxfId="454" priority="451" operator="equal">
      <formula>0</formula>
    </cfRule>
    <cfRule type="cellIs" dxfId="453" priority="452" operator="notEqual">
      <formula>0</formula>
    </cfRule>
  </conditionalFormatting>
  <conditionalFormatting sqref="F74:F75">
    <cfRule type="cellIs" dxfId="452" priority="449" operator="equal">
      <formula>0</formula>
    </cfRule>
    <cfRule type="cellIs" dxfId="451" priority="450" operator="notEqual">
      <formula>0</formula>
    </cfRule>
  </conditionalFormatting>
  <conditionalFormatting sqref="G74:G75">
    <cfRule type="cellIs" dxfId="450" priority="447" operator="equal">
      <formula>0</formula>
    </cfRule>
    <cfRule type="cellIs" dxfId="449" priority="448" operator="notEqual">
      <formula>0</formula>
    </cfRule>
  </conditionalFormatting>
  <conditionalFormatting sqref="H74:H75">
    <cfRule type="cellIs" dxfId="448" priority="445" operator="equal">
      <formula>0</formula>
    </cfRule>
    <cfRule type="cellIs" dxfId="447" priority="446" operator="notEqual">
      <formula>0</formula>
    </cfRule>
  </conditionalFormatting>
  <conditionalFormatting sqref="I74:I75">
    <cfRule type="cellIs" dxfId="446" priority="443" operator="equal">
      <formula>0</formula>
    </cfRule>
    <cfRule type="cellIs" dxfId="445" priority="444" operator="notEqual">
      <formula>0</formula>
    </cfRule>
  </conditionalFormatting>
  <conditionalFormatting sqref="J74:J75">
    <cfRule type="cellIs" dxfId="444" priority="441" operator="equal">
      <formula>0</formula>
    </cfRule>
    <cfRule type="cellIs" dxfId="443" priority="442" operator="notEqual">
      <formula>0</formula>
    </cfRule>
  </conditionalFormatting>
  <conditionalFormatting sqref="O73">
    <cfRule type="cellIs" dxfId="442" priority="439" operator="equal">
      <formula>0</formula>
    </cfRule>
    <cfRule type="cellIs" dxfId="441" priority="440" operator="greaterThan">
      <formula>0</formula>
    </cfRule>
  </conditionalFormatting>
  <conditionalFormatting sqref="P73">
    <cfRule type="cellIs" dxfId="440" priority="437" operator="equal">
      <formula>0</formula>
    </cfRule>
    <cfRule type="cellIs" dxfId="439" priority="438" operator="greaterThan">
      <formula>0</formula>
    </cfRule>
  </conditionalFormatting>
  <conditionalFormatting sqref="Q73">
    <cfRule type="cellIs" dxfId="438" priority="435" operator="equal">
      <formula>0</formula>
    </cfRule>
    <cfRule type="cellIs" dxfId="437" priority="436" operator="greaterThan">
      <formula>0</formula>
    </cfRule>
  </conditionalFormatting>
  <conditionalFormatting sqref="R73">
    <cfRule type="cellIs" dxfId="436" priority="433" operator="equal">
      <formula>0</formula>
    </cfRule>
    <cfRule type="cellIs" dxfId="435" priority="434" operator="greaterThan">
      <formula>0</formula>
    </cfRule>
  </conditionalFormatting>
  <conditionalFormatting sqref="U67:U68">
    <cfRule type="cellIs" dxfId="434" priority="431" operator="equal">
      <formula>0</formula>
    </cfRule>
    <cfRule type="cellIs" dxfId="433" priority="432" operator="notEqual">
      <formula>0</formula>
    </cfRule>
  </conditionalFormatting>
  <conditionalFormatting sqref="V67:V68">
    <cfRule type="cellIs" dxfId="432" priority="429" operator="equal">
      <formula>0</formula>
    </cfRule>
    <cfRule type="cellIs" dxfId="431" priority="430" operator="notEqual">
      <formula>0</formula>
    </cfRule>
  </conditionalFormatting>
  <conditionalFormatting sqref="W67:W68">
    <cfRule type="cellIs" dxfId="430" priority="427" operator="equal">
      <formula>0</formula>
    </cfRule>
    <cfRule type="cellIs" dxfId="429" priority="428" operator="notEqual">
      <formula>0</formula>
    </cfRule>
  </conditionalFormatting>
  <conditionalFormatting sqref="X67:X68">
    <cfRule type="cellIs" dxfId="428" priority="425" operator="equal">
      <formula>0</formula>
    </cfRule>
    <cfRule type="cellIs" dxfId="427" priority="426" operator="notEqual">
      <formula>0</formula>
    </cfRule>
  </conditionalFormatting>
  <conditionalFormatting sqref="Y67:Y68">
    <cfRule type="cellIs" dxfId="426" priority="423" operator="equal">
      <formula>0</formula>
    </cfRule>
    <cfRule type="cellIs" dxfId="425" priority="424" operator="notEqual">
      <formula>0</formula>
    </cfRule>
  </conditionalFormatting>
  <conditionalFormatting sqref="Z67:Z68">
    <cfRule type="cellIs" dxfId="424" priority="421" operator="equal">
      <formula>0</formula>
    </cfRule>
    <cfRule type="cellIs" dxfId="423" priority="422" operator="notEqual">
      <formula>0</formula>
    </cfRule>
  </conditionalFormatting>
  <conditionalFormatting sqref="AA67:AA68">
    <cfRule type="cellIs" dxfId="422" priority="419" operator="equal">
      <formula>0</formula>
    </cfRule>
    <cfRule type="cellIs" dxfId="421" priority="420" operator="notEqual">
      <formula>0</formula>
    </cfRule>
  </conditionalFormatting>
  <conditionalFormatting sqref="AB67:AB68">
    <cfRule type="cellIs" dxfId="420" priority="417" operator="equal">
      <formula>0</formula>
    </cfRule>
    <cfRule type="cellIs" dxfId="419" priority="418" operator="notEqual">
      <formula>0</formula>
    </cfRule>
  </conditionalFormatting>
  <conditionalFormatting sqref="AG66">
    <cfRule type="cellIs" dxfId="418" priority="415" operator="equal">
      <formula>0</formula>
    </cfRule>
    <cfRule type="cellIs" dxfId="417" priority="416" operator="greaterThan">
      <formula>0</formula>
    </cfRule>
  </conditionalFormatting>
  <conditionalFormatting sqref="AH66">
    <cfRule type="cellIs" dxfId="416" priority="413" operator="equal">
      <formula>0</formula>
    </cfRule>
    <cfRule type="cellIs" dxfId="415" priority="414" operator="greaterThan">
      <formula>0</formula>
    </cfRule>
  </conditionalFormatting>
  <conditionalFormatting sqref="AI66">
    <cfRule type="cellIs" dxfId="414" priority="411" operator="equal">
      <formula>0</formula>
    </cfRule>
    <cfRule type="cellIs" dxfId="413" priority="412" operator="greaterThan">
      <formula>0</formula>
    </cfRule>
  </conditionalFormatting>
  <conditionalFormatting sqref="AJ66">
    <cfRule type="cellIs" dxfId="412" priority="409" operator="equal">
      <formula>0</formula>
    </cfRule>
    <cfRule type="cellIs" dxfId="411" priority="410" operator="greaterThan">
      <formula>0</formula>
    </cfRule>
  </conditionalFormatting>
  <conditionalFormatting sqref="U60:U61">
    <cfRule type="cellIs" dxfId="410" priority="407" operator="equal">
      <formula>0</formula>
    </cfRule>
    <cfRule type="cellIs" dxfId="409" priority="408" operator="notEqual">
      <formula>0</formula>
    </cfRule>
  </conditionalFormatting>
  <conditionalFormatting sqref="V60:V61">
    <cfRule type="cellIs" dxfId="408" priority="405" operator="equal">
      <formula>0</formula>
    </cfRule>
    <cfRule type="cellIs" dxfId="407" priority="406" operator="notEqual">
      <formula>0</formula>
    </cfRule>
  </conditionalFormatting>
  <conditionalFormatting sqref="W60:W61">
    <cfRule type="cellIs" dxfId="406" priority="403" operator="equal">
      <formula>0</formula>
    </cfRule>
    <cfRule type="cellIs" dxfId="405" priority="404" operator="notEqual">
      <formula>0</formula>
    </cfRule>
  </conditionalFormatting>
  <conditionalFormatting sqref="X60:X61">
    <cfRule type="cellIs" dxfId="404" priority="401" operator="equal">
      <formula>0</formula>
    </cfRule>
    <cfRule type="cellIs" dxfId="403" priority="402" operator="notEqual">
      <formula>0</formula>
    </cfRule>
  </conditionalFormatting>
  <conditionalFormatting sqref="Y60:Y61">
    <cfRule type="cellIs" dxfId="402" priority="399" operator="equal">
      <formula>0</formula>
    </cfRule>
    <cfRule type="cellIs" dxfId="401" priority="400" operator="notEqual">
      <formula>0</formula>
    </cfRule>
  </conditionalFormatting>
  <conditionalFormatting sqref="Z60:Z61">
    <cfRule type="cellIs" dxfId="400" priority="397" operator="equal">
      <formula>0</formula>
    </cfRule>
    <cfRule type="cellIs" dxfId="399" priority="398" operator="notEqual">
      <formula>0</formula>
    </cfRule>
  </conditionalFormatting>
  <conditionalFormatting sqref="AA60:AA61">
    <cfRule type="cellIs" dxfId="398" priority="395" operator="equal">
      <formula>0</formula>
    </cfRule>
    <cfRule type="cellIs" dxfId="397" priority="396" operator="notEqual">
      <formula>0</formula>
    </cfRule>
  </conditionalFormatting>
  <conditionalFormatting sqref="AB60:AB61">
    <cfRule type="cellIs" dxfId="396" priority="393" operator="equal">
      <formula>0</formula>
    </cfRule>
    <cfRule type="cellIs" dxfId="395" priority="394" operator="notEqual">
      <formula>0</formula>
    </cfRule>
  </conditionalFormatting>
  <conditionalFormatting sqref="AG59">
    <cfRule type="cellIs" dxfId="394" priority="391" operator="equal">
      <formula>0</formula>
    </cfRule>
    <cfRule type="cellIs" dxfId="393" priority="392" operator="greaterThan">
      <formula>0</formula>
    </cfRule>
  </conditionalFormatting>
  <conditionalFormatting sqref="AH59">
    <cfRule type="cellIs" dxfId="392" priority="389" operator="equal">
      <formula>0</formula>
    </cfRule>
    <cfRule type="cellIs" dxfId="391" priority="390" operator="greaterThan">
      <formula>0</formula>
    </cfRule>
  </conditionalFormatting>
  <conditionalFormatting sqref="AI59">
    <cfRule type="cellIs" dxfId="390" priority="387" operator="equal">
      <formula>0</formula>
    </cfRule>
    <cfRule type="cellIs" dxfId="389" priority="388" operator="greaterThan">
      <formula>0</formula>
    </cfRule>
  </conditionalFormatting>
  <conditionalFormatting sqref="AJ59">
    <cfRule type="cellIs" dxfId="388" priority="385" operator="equal">
      <formula>0</formula>
    </cfRule>
    <cfRule type="cellIs" dxfId="387" priority="386" operator="greaterThan">
      <formula>0</formula>
    </cfRule>
  </conditionalFormatting>
  <conditionalFormatting sqref="U53:U54">
    <cfRule type="cellIs" dxfId="386" priority="383" operator="equal">
      <formula>0</formula>
    </cfRule>
    <cfRule type="cellIs" dxfId="385" priority="384" operator="notEqual">
      <formula>0</formula>
    </cfRule>
  </conditionalFormatting>
  <conditionalFormatting sqref="V53:V54">
    <cfRule type="cellIs" dxfId="384" priority="381" operator="equal">
      <formula>0</formula>
    </cfRule>
    <cfRule type="cellIs" dxfId="383" priority="382" operator="notEqual">
      <formula>0</formula>
    </cfRule>
  </conditionalFormatting>
  <conditionalFormatting sqref="W53:W54">
    <cfRule type="cellIs" dxfId="382" priority="379" operator="equal">
      <formula>0</formula>
    </cfRule>
    <cfRule type="cellIs" dxfId="381" priority="380" operator="notEqual">
      <formula>0</formula>
    </cfRule>
  </conditionalFormatting>
  <conditionalFormatting sqref="X53:X54">
    <cfRule type="cellIs" dxfId="380" priority="377" operator="equal">
      <formula>0</formula>
    </cfRule>
    <cfRule type="cellIs" dxfId="379" priority="378" operator="notEqual">
      <formula>0</formula>
    </cfRule>
  </conditionalFormatting>
  <conditionalFormatting sqref="Y53:Y54">
    <cfRule type="cellIs" dxfId="378" priority="375" operator="equal">
      <formula>0</formula>
    </cfRule>
    <cfRule type="cellIs" dxfId="377" priority="376" operator="notEqual">
      <formula>0</formula>
    </cfRule>
  </conditionalFormatting>
  <conditionalFormatting sqref="Z53:Z54">
    <cfRule type="cellIs" dxfId="376" priority="373" operator="equal">
      <formula>0</formula>
    </cfRule>
    <cfRule type="cellIs" dxfId="375" priority="374" operator="notEqual">
      <formula>0</formula>
    </cfRule>
  </conditionalFormatting>
  <conditionalFormatting sqref="AA53:AA54">
    <cfRule type="cellIs" dxfId="374" priority="371" operator="equal">
      <formula>0</formula>
    </cfRule>
    <cfRule type="cellIs" dxfId="373" priority="372" operator="notEqual">
      <formula>0</formula>
    </cfRule>
  </conditionalFormatting>
  <conditionalFormatting sqref="AB53:AB54">
    <cfRule type="cellIs" dxfId="372" priority="369" operator="equal">
      <formula>0</formula>
    </cfRule>
    <cfRule type="cellIs" dxfId="371" priority="370" operator="notEqual">
      <formula>0</formula>
    </cfRule>
  </conditionalFormatting>
  <conditionalFormatting sqref="AG52">
    <cfRule type="cellIs" dxfId="370" priority="367" operator="equal">
      <formula>0</formula>
    </cfRule>
    <cfRule type="cellIs" dxfId="369" priority="368" operator="greaterThan">
      <formula>0</formula>
    </cfRule>
  </conditionalFormatting>
  <conditionalFormatting sqref="AH52">
    <cfRule type="cellIs" dxfId="368" priority="365" operator="equal">
      <formula>0</formula>
    </cfRule>
    <cfRule type="cellIs" dxfId="367" priority="366" operator="greaterThan">
      <formula>0</formula>
    </cfRule>
  </conditionalFormatting>
  <conditionalFormatting sqref="AI52">
    <cfRule type="cellIs" dxfId="366" priority="363" operator="equal">
      <formula>0</formula>
    </cfRule>
    <cfRule type="cellIs" dxfId="365" priority="364" operator="greaterThan">
      <formula>0</formula>
    </cfRule>
  </conditionalFormatting>
  <conditionalFormatting sqref="AJ52">
    <cfRule type="cellIs" dxfId="364" priority="361" operator="equal">
      <formula>0</formula>
    </cfRule>
    <cfRule type="cellIs" dxfId="363" priority="362" operator="greaterThan">
      <formula>0</formula>
    </cfRule>
  </conditionalFormatting>
  <conditionalFormatting sqref="U46:U47">
    <cfRule type="cellIs" dxfId="362" priority="359" operator="equal">
      <formula>0</formula>
    </cfRule>
    <cfRule type="cellIs" dxfId="361" priority="360" operator="notEqual">
      <formula>0</formula>
    </cfRule>
  </conditionalFormatting>
  <conditionalFormatting sqref="V46:V47">
    <cfRule type="cellIs" dxfId="360" priority="357" operator="equal">
      <formula>0</formula>
    </cfRule>
    <cfRule type="cellIs" dxfId="359" priority="358" operator="notEqual">
      <formula>0</formula>
    </cfRule>
  </conditionalFormatting>
  <conditionalFormatting sqref="W46:W47">
    <cfRule type="cellIs" dxfId="358" priority="355" operator="equal">
      <formula>0</formula>
    </cfRule>
    <cfRule type="cellIs" dxfId="357" priority="356" operator="notEqual">
      <formula>0</formula>
    </cfRule>
  </conditionalFormatting>
  <conditionalFormatting sqref="X46:X47">
    <cfRule type="cellIs" dxfId="356" priority="353" operator="equal">
      <formula>0</formula>
    </cfRule>
    <cfRule type="cellIs" dxfId="355" priority="354" operator="notEqual">
      <formula>0</formula>
    </cfRule>
  </conditionalFormatting>
  <conditionalFormatting sqref="Y46:Y47">
    <cfRule type="cellIs" dxfId="354" priority="351" operator="equal">
      <formula>0</formula>
    </cfRule>
    <cfRule type="cellIs" dxfId="353" priority="352" operator="notEqual">
      <formula>0</formula>
    </cfRule>
  </conditionalFormatting>
  <conditionalFormatting sqref="Z46:Z47">
    <cfRule type="cellIs" dxfId="352" priority="349" operator="equal">
      <formula>0</formula>
    </cfRule>
    <cfRule type="cellIs" dxfId="351" priority="350" operator="notEqual">
      <formula>0</formula>
    </cfRule>
  </conditionalFormatting>
  <conditionalFormatting sqref="AA46:AA47">
    <cfRule type="cellIs" dxfId="350" priority="347" operator="equal">
      <formula>0</formula>
    </cfRule>
    <cfRule type="cellIs" dxfId="349" priority="348" operator="notEqual">
      <formula>0</formula>
    </cfRule>
  </conditionalFormatting>
  <conditionalFormatting sqref="AB46:AB47">
    <cfRule type="cellIs" dxfId="348" priority="345" operator="equal">
      <formula>0</formula>
    </cfRule>
    <cfRule type="cellIs" dxfId="347" priority="346" operator="notEqual">
      <formula>0</formula>
    </cfRule>
  </conditionalFormatting>
  <conditionalFormatting sqref="AG45">
    <cfRule type="cellIs" dxfId="346" priority="343" operator="equal">
      <formula>0</formula>
    </cfRule>
    <cfRule type="cellIs" dxfId="345" priority="344" operator="greaterThan">
      <formula>0</formula>
    </cfRule>
  </conditionalFormatting>
  <conditionalFormatting sqref="AH45">
    <cfRule type="cellIs" dxfId="344" priority="341" operator="equal">
      <formula>0</formula>
    </cfRule>
    <cfRule type="cellIs" dxfId="343" priority="342" operator="greaterThan">
      <formula>0</formula>
    </cfRule>
  </conditionalFormatting>
  <conditionalFormatting sqref="AI45">
    <cfRule type="cellIs" dxfId="342" priority="339" operator="equal">
      <formula>0</formula>
    </cfRule>
    <cfRule type="cellIs" dxfId="341" priority="340" operator="greaterThan">
      <formula>0</formula>
    </cfRule>
  </conditionalFormatting>
  <conditionalFormatting sqref="AJ45">
    <cfRule type="cellIs" dxfId="340" priority="337" operator="equal">
      <formula>0</formula>
    </cfRule>
    <cfRule type="cellIs" dxfId="339" priority="338" operator="greaterThan">
      <formula>0</formula>
    </cfRule>
  </conditionalFormatting>
  <conditionalFormatting sqref="U39:U40">
    <cfRule type="cellIs" dxfId="338" priority="335" operator="equal">
      <formula>0</formula>
    </cfRule>
    <cfRule type="cellIs" dxfId="337" priority="336" operator="notEqual">
      <formula>0</formula>
    </cfRule>
  </conditionalFormatting>
  <conditionalFormatting sqref="V39:V40">
    <cfRule type="cellIs" dxfId="336" priority="333" operator="equal">
      <formula>0</formula>
    </cfRule>
    <cfRule type="cellIs" dxfId="335" priority="334" operator="notEqual">
      <formula>0</formula>
    </cfRule>
  </conditionalFormatting>
  <conditionalFormatting sqref="W39:W40">
    <cfRule type="cellIs" dxfId="334" priority="331" operator="equal">
      <formula>0</formula>
    </cfRule>
    <cfRule type="cellIs" dxfId="333" priority="332" operator="notEqual">
      <formula>0</formula>
    </cfRule>
  </conditionalFormatting>
  <conditionalFormatting sqref="X39:X40">
    <cfRule type="cellIs" dxfId="332" priority="329" operator="equal">
      <formula>0</formula>
    </cfRule>
    <cfRule type="cellIs" dxfId="331" priority="330" operator="notEqual">
      <formula>0</formula>
    </cfRule>
  </conditionalFormatting>
  <conditionalFormatting sqref="Y39:Y40">
    <cfRule type="cellIs" dxfId="330" priority="327" operator="equal">
      <formula>0</formula>
    </cfRule>
    <cfRule type="cellIs" dxfId="329" priority="328" operator="notEqual">
      <formula>0</formula>
    </cfRule>
  </conditionalFormatting>
  <conditionalFormatting sqref="Z39:Z40">
    <cfRule type="cellIs" dxfId="328" priority="325" operator="equal">
      <formula>0</formula>
    </cfRule>
    <cfRule type="cellIs" dxfId="327" priority="326" operator="notEqual">
      <formula>0</formula>
    </cfRule>
  </conditionalFormatting>
  <conditionalFormatting sqref="AA39:AA40">
    <cfRule type="cellIs" dxfId="326" priority="323" operator="equal">
      <formula>0</formula>
    </cfRule>
    <cfRule type="cellIs" dxfId="325" priority="324" operator="notEqual">
      <formula>0</formula>
    </cfRule>
  </conditionalFormatting>
  <conditionalFormatting sqref="AB39:AB40">
    <cfRule type="cellIs" dxfId="324" priority="321" operator="equal">
      <formula>0</formula>
    </cfRule>
    <cfRule type="cellIs" dxfId="323" priority="322" operator="notEqual">
      <formula>0</formula>
    </cfRule>
  </conditionalFormatting>
  <conditionalFormatting sqref="AG38">
    <cfRule type="cellIs" dxfId="322" priority="319" operator="equal">
      <formula>0</formula>
    </cfRule>
    <cfRule type="cellIs" dxfId="321" priority="320" operator="greaterThan">
      <formula>0</formula>
    </cfRule>
  </conditionalFormatting>
  <conditionalFormatting sqref="AH38">
    <cfRule type="cellIs" dxfId="320" priority="317" operator="equal">
      <formula>0</formula>
    </cfRule>
    <cfRule type="cellIs" dxfId="319" priority="318" operator="greaterThan">
      <formula>0</formula>
    </cfRule>
  </conditionalFormatting>
  <conditionalFormatting sqref="AI38">
    <cfRule type="cellIs" dxfId="318" priority="315" operator="equal">
      <formula>0</formula>
    </cfRule>
    <cfRule type="cellIs" dxfId="317" priority="316" operator="greaterThan">
      <formula>0</formula>
    </cfRule>
  </conditionalFormatting>
  <conditionalFormatting sqref="AJ38">
    <cfRule type="cellIs" dxfId="316" priority="313" operator="equal">
      <formula>0</formula>
    </cfRule>
    <cfRule type="cellIs" dxfId="315" priority="314" operator="greaterThan">
      <formula>0</formula>
    </cfRule>
  </conditionalFormatting>
  <conditionalFormatting sqref="U32:U33">
    <cfRule type="cellIs" dxfId="314" priority="311" operator="equal">
      <formula>0</formula>
    </cfRule>
    <cfRule type="cellIs" dxfId="313" priority="312" operator="notEqual">
      <formula>0</formula>
    </cfRule>
  </conditionalFormatting>
  <conditionalFormatting sqref="V32:V33">
    <cfRule type="cellIs" dxfId="312" priority="309" operator="equal">
      <formula>0</formula>
    </cfRule>
    <cfRule type="cellIs" dxfId="311" priority="310" operator="notEqual">
      <formula>0</formula>
    </cfRule>
  </conditionalFormatting>
  <conditionalFormatting sqref="W32:W33">
    <cfRule type="cellIs" dxfId="310" priority="307" operator="equal">
      <formula>0</formula>
    </cfRule>
    <cfRule type="cellIs" dxfId="309" priority="308" operator="notEqual">
      <formula>0</formula>
    </cfRule>
  </conditionalFormatting>
  <conditionalFormatting sqref="X32:X33">
    <cfRule type="cellIs" dxfId="308" priority="305" operator="equal">
      <formula>0</formula>
    </cfRule>
    <cfRule type="cellIs" dxfId="307" priority="306" operator="notEqual">
      <formula>0</formula>
    </cfRule>
  </conditionalFormatting>
  <conditionalFormatting sqref="Y32:Y33">
    <cfRule type="cellIs" dxfId="306" priority="303" operator="equal">
      <formula>0</formula>
    </cfRule>
    <cfRule type="cellIs" dxfId="305" priority="304" operator="notEqual">
      <formula>0</formula>
    </cfRule>
  </conditionalFormatting>
  <conditionalFormatting sqref="Z32:Z33">
    <cfRule type="cellIs" dxfId="304" priority="301" operator="equal">
      <formula>0</formula>
    </cfRule>
    <cfRule type="cellIs" dxfId="303" priority="302" operator="notEqual">
      <formula>0</formula>
    </cfRule>
  </conditionalFormatting>
  <conditionalFormatting sqref="AA32:AA33">
    <cfRule type="cellIs" dxfId="302" priority="299" operator="equal">
      <formula>0</formula>
    </cfRule>
    <cfRule type="cellIs" dxfId="301" priority="300" operator="notEqual">
      <formula>0</formula>
    </cfRule>
  </conditionalFormatting>
  <conditionalFormatting sqref="AB32:AB33">
    <cfRule type="cellIs" dxfId="300" priority="297" operator="equal">
      <formula>0</formula>
    </cfRule>
    <cfRule type="cellIs" dxfId="299" priority="298" operator="notEqual">
      <formula>0</formula>
    </cfRule>
  </conditionalFormatting>
  <conditionalFormatting sqref="AG31">
    <cfRule type="cellIs" dxfId="298" priority="295" operator="equal">
      <formula>0</formula>
    </cfRule>
    <cfRule type="cellIs" dxfId="297" priority="296" operator="greaterThan">
      <formula>0</formula>
    </cfRule>
  </conditionalFormatting>
  <conditionalFormatting sqref="AH31">
    <cfRule type="cellIs" dxfId="296" priority="293" operator="equal">
      <formula>0</formula>
    </cfRule>
    <cfRule type="cellIs" dxfId="295" priority="294" operator="greaterThan">
      <formula>0</formula>
    </cfRule>
  </conditionalFormatting>
  <conditionalFormatting sqref="AI31">
    <cfRule type="cellIs" dxfId="294" priority="291" operator="equal">
      <formula>0</formula>
    </cfRule>
    <cfRule type="cellIs" dxfId="293" priority="292" operator="greaterThan">
      <formula>0</formula>
    </cfRule>
  </conditionalFormatting>
  <conditionalFormatting sqref="AJ31">
    <cfRule type="cellIs" dxfId="292" priority="289" operator="equal">
      <formula>0</formula>
    </cfRule>
    <cfRule type="cellIs" dxfId="291" priority="290" operator="greaterThan">
      <formula>0</formula>
    </cfRule>
  </conditionalFormatting>
  <conditionalFormatting sqref="U25:U26">
    <cfRule type="cellIs" dxfId="290" priority="287" operator="equal">
      <formula>0</formula>
    </cfRule>
    <cfRule type="cellIs" dxfId="289" priority="288" operator="notEqual">
      <formula>0</formula>
    </cfRule>
  </conditionalFormatting>
  <conditionalFormatting sqref="V25:V26">
    <cfRule type="cellIs" dxfId="288" priority="285" operator="equal">
      <formula>0</formula>
    </cfRule>
    <cfRule type="cellIs" dxfId="287" priority="286" operator="notEqual">
      <formula>0</formula>
    </cfRule>
  </conditionalFormatting>
  <conditionalFormatting sqref="W25:W26">
    <cfRule type="cellIs" dxfId="286" priority="283" operator="equal">
      <formula>0</formula>
    </cfRule>
    <cfRule type="cellIs" dxfId="285" priority="284" operator="notEqual">
      <formula>0</formula>
    </cfRule>
  </conditionalFormatting>
  <conditionalFormatting sqref="X25:X26">
    <cfRule type="cellIs" dxfId="284" priority="281" operator="equal">
      <formula>0</formula>
    </cfRule>
    <cfRule type="cellIs" dxfId="283" priority="282" operator="notEqual">
      <formula>0</formula>
    </cfRule>
  </conditionalFormatting>
  <conditionalFormatting sqref="Y25:Y26">
    <cfRule type="cellIs" dxfId="282" priority="279" operator="equal">
      <formula>0</formula>
    </cfRule>
    <cfRule type="cellIs" dxfId="281" priority="280" operator="notEqual">
      <formula>0</formula>
    </cfRule>
  </conditionalFormatting>
  <conditionalFormatting sqref="Z25:Z26">
    <cfRule type="cellIs" dxfId="280" priority="277" operator="equal">
      <formula>0</formula>
    </cfRule>
    <cfRule type="cellIs" dxfId="279" priority="278" operator="notEqual">
      <formula>0</formula>
    </cfRule>
  </conditionalFormatting>
  <conditionalFormatting sqref="AA25:AA26">
    <cfRule type="cellIs" dxfId="278" priority="275" operator="equal">
      <formula>0</formula>
    </cfRule>
    <cfRule type="cellIs" dxfId="277" priority="276" operator="notEqual">
      <formula>0</formula>
    </cfRule>
  </conditionalFormatting>
  <conditionalFormatting sqref="AB25:AB26">
    <cfRule type="cellIs" dxfId="276" priority="273" operator="equal">
      <formula>0</formula>
    </cfRule>
    <cfRule type="cellIs" dxfId="275" priority="274" operator="notEqual">
      <formula>0</formula>
    </cfRule>
  </conditionalFormatting>
  <conditionalFormatting sqref="AG24">
    <cfRule type="cellIs" dxfId="274" priority="271" operator="equal">
      <formula>0</formula>
    </cfRule>
    <cfRule type="cellIs" dxfId="273" priority="272" operator="greaterThan">
      <formula>0</formula>
    </cfRule>
  </conditionalFormatting>
  <conditionalFormatting sqref="AH24">
    <cfRule type="cellIs" dxfId="272" priority="269" operator="equal">
      <formula>0</formula>
    </cfRule>
    <cfRule type="cellIs" dxfId="271" priority="270" operator="greaterThan">
      <formula>0</formula>
    </cfRule>
  </conditionalFormatting>
  <conditionalFormatting sqref="AI24">
    <cfRule type="cellIs" dxfId="270" priority="267" operator="equal">
      <formula>0</formula>
    </cfRule>
    <cfRule type="cellIs" dxfId="269" priority="268" operator="greaterThan">
      <formula>0</formula>
    </cfRule>
  </conditionalFormatting>
  <conditionalFormatting sqref="AJ24">
    <cfRule type="cellIs" dxfId="268" priority="265" operator="equal">
      <formula>0</formula>
    </cfRule>
    <cfRule type="cellIs" dxfId="267" priority="266" operator="greaterThan">
      <formula>0</formula>
    </cfRule>
  </conditionalFormatting>
  <conditionalFormatting sqref="U18:U19">
    <cfRule type="cellIs" dxfId="266" priority="263" operator="equal">
      <formula>0</formula>
    </cfRule>
    <cfRule type="cellIs" dxfId="265" priority="264" operator="notEqual">
      <formula>0</formula>
    </cfRule>
  </conditionalFormatting>
  <conditionalFormatting sqref="V18:V19">
    <cfRule type="cellIs" dxfId="264" priority="261" operator="equal">
      <formula>0</formula>
    </cfRule>
    <cfRule type="cellIs" dxfId="263" priority="262" operator="notEqual">
      <formula>0</formula>
    </cfRule>
  </conditionalFormatting>
  <conditionalFormatting sqref="W18:W19">
    <cfRule type="cellIs" dxfId="262" priority="259" operator="equal">
      <formula>0</formula>
    </cfRule>
    <cfRule type="cellIs" dxfId="261" priority="260" operator="notEqual">
      <formula>0</formula>
    </cfRule>
  </conditionalFormatting>
  <conditionalFormatting sqref="X18:X19">
    <cfRule type="cellIs" dxfId="260" priority="257" operator="equal">
      <formula>0</formula>
    </cfRule>
    <cfRule type="cellIs" dxfId="259" priority="258" operator="notEqual">
      <formula>0</formula>
    </cfRule>
  </conditionalFormatting>
  <conditionalFormatting sqref="Y18:Y19">
    <cfRule type="cellIs" dxfId="258" priority="255" operator="equal">
      <formula>0</formula>
    </cfRule>
    <cfRule type="cellIs" dxfId="257" priority="256" operator="notEqual">
      <formula>0</formula>
    </cfRule>
  </conditionalFormatting>
  <conditionalFormatting sqref="Z18:Z19">
    <cfRule type="cellIs" dxfId="256" priority="253" operator="equal">
      <formula>0</formula>
    </cfRule>
    <cfRule type="cellIs" dxfId="255" priority="254" operator="notEqual">
      <formula>0</formula>
    </cfRule>
  </conditionalFormatting>
  <conditionalFormatting sqref="AA18:AA19">
    <cfRule type="cellIs" dxfId="254" priority="251" operator="equal">
      <formula>0</formula>
    </cfRule>
    <cfRule type="cellIs" dxfId="253" priority="252" operator="notEqual">
      <formula>0</formula>
    </cfRule>
  </conditionalFormatting>
  <conditionalFormatting sqref="AB18:AB19">
    <cfRule type="cellIs" dxfId="252" priority="249" operator="equal">
      <formula>0</formula>
    </cfRule>
    <cfRule type="cellIs" dxfId="251" priority="250" operator="notEqual">
      <formula>0</formula>
    </cfRule>
  </conditionalFormatting>
  <conditionalFormatting sqref="AG17">
    <cfRule type="cellIs" dxfId="250" priority="247" operator="equal">
      <formula>0</formula>
    </cfRule>
    <cfRule type="cellIs" dxfId="249" priority="248" operator="greaterThan">
      <formula>0</formula>
    </cfRule>
  </conditionalFormatting>
  <conditionalFormatting sqref="AH17">
    <cfRule type="cellIs" dxfId="248" priority="245" operator="equal">
      <formula>0</formula>
    </cfRule>
    <cfRule type="cellIs" dxfId="247" priority="246" operator="greaterThan">
      <formula>0</formula>
    </cfRule>
  </conditionalFormatting>
  <conditionalFormatting sqref="AI17">
    <cfRule type="cellIs" dxfId="246" priority="243" operator="equal">
      <formula>0</formula>
    </cfRule>
    <cfRule type="cellIs" dxfId="245" priority="244" operator="greaterThan">
      <formula>0</formula>
    </cfRule>
  </conditionalFormatting>
  <conditionalFormatting sqref="AJ17">
    <cfRule type="cellIs" dxfId="244" priority="241" operator="equal">
      <formula>0</formula>
    </cfRule>
    <cfRule type="cellIs" dxfId="243" priority="242" operator="greaterThan">
      <formula>0</formula>
    </cfRule>
  </conditionalFormatting>
  <conditionalFormatting sqref="U11:U12">
    <cfRule type="cellIs" dxfId="242" priority="239" operator="equal">
      <formula>0</formula>
    </cfRule>
    <cfRule type="cellIs" dxfId="241" priority="240" operator="notEqual">
      <formula>0</formula>
    </cfRule>
  </conditionalFormatting>
  <conditionalFormatting sqref="V11:V12">
    <cfRule type="cellIs" dxfId="240" priority="237" operator="equal">
      <formula>0</formula>
    </cfRule>
    <cfRule type="cellIs" dxfId="239" priority="238" operator="notEqual">
      <formula>0</formula>
    </cfRule>
  </conditionalFormatting>
  <conditionalFormatting sqref="W11:W12">
    <cfRule type="cellIs" dxfId="238" priority="235" operator="equal">
      <formula>0</formula>
    </cfRule>
    <cfRule type="cellIs" dxfId="237" priority="236" operator="notEqual">
      <formula>0</formula>
    </cfRule>
  </conditionalFormatting>
  <conditionalFormatting sqref="X11:X12">
    <cfRule type="cellIs" dxfId="236" priority="233" operator="equal">
      <formula>0</formula>
    </cfRule>
    <cfRule type="cellIs" dxfId="235" priority="234" operator="notEqual">
      <formula>0</formula>
    </cfRule>
  </conditionalFormatting>
  <conditionalFormatting sqref="Y11:Y12">
    <cfRule type="cellIs" dxfId="234" priority="231" operator="equal">
      <formula>0</formula>
    </cfRule>
    <cfRule type="cellIs" dxfId="233" priority="232" operator="notEqual">
      <formula>0</formula>
    </cfRule>
  </conditionalFormatting>
  <conditionalFormatting sqref="Z11:Z12">
    <cfRule type="cellIs" dxfId="232" priority="229" operator="equal">
      <formula>0</formula>
    </cfRule>
    <cfRule type="cellIs" dxfId="231" priority="230" operator="notEqual">
      <formula>0</formula>
    </cfRule>
  </conditionalFormatting>
  <conditionalFormatting sqref="AA11:AA12">
    <cfRule type="cellIs" dxfId="230" priority="227" operator="equal">
      <formula>0</formula>
    </cfRule>
    <cfRule type="cellIs" dxfId="229" priority="228" operator="notEqual">
      <formula>0</formula>
    </cfRule>
  </conditionalFormatting>
  <conditionalFormatting sqref="AB11:AB12">
    <cfRule type="cellIs" dxfId="228" priority="225" operator="equal">
      <formula>0</formula>
    </cfRule>
    <cfRule type="cellIs" dxfId="227" priority="226" operator="notEqual">
      <formula>0</formula>
    </cfRule>
  </conditionalFormatting>
  <conditionalFormatting sqref="AG10">
    <cfRule type="cellIs" dxfId="226" priority="223" operator="equal">
      <formula>0</formula>
    </cfRule>
    <cfRule type="cellIs" dxfId="225" priority="224" operator="greaterThan">
      <formula>0</formula>
    </cfRule>
  </conditionalFormatting>
  <conditionalFormatting sqref="AH10">
    <cfRule type="cellIs" dxfId="224" priority="221" operator="equal">
      <formula>0</formula>
    </cfRule>
    <cfRule type="cellIs" dxfId="223" priority="222" operator="greaterThan">
      <formula>0</formula>
    </cfRule>
  </conditionalFormatting>
  <conditionalFormatting sqref="AI10">
    <cfRule type="cellIs" dxfId="222" priority="219" operator="equal">
      <formula>0</formula>
    </cfRule>
    <cfRule type="cellIs" dxfId="221" priority="220" operator="greaterThan">
      <formula>0</formula>
    </cfRule>
  </conditionalFormatting>
  <conditionalFormatting sqref="AJ10">
    <cfRule type="cellIs" dxfId="220" priority="217" operator="equal">
      <formula>0</formula>
    </cfRule>
    <cfRule type="cellIs" dxfId="219" priority="218" operator="greaterThan">
      <formula>0</formula>
    </cfRule>
  </conditionalFormatting>
  <conditionalFormatting sqref="C81:C82">
    <cfRule type="cellIs" dxfId="218" priority="215" operator="equal">
      <formula>0</formula>
    </cfRule>
    <cfRule type="cellIs" dxfId="217" priority="216" operator="notEqual">
      <formula>0</formula>
    </cfRule>
  </conditionalFormatting>
  <conditionalFormatting sqref="D81:D82">
    <cfRule type="cellIs" dxfId="216" priority="213" operator="equal">
      <formula>0</formula>
    </cfRule>
    <cfRule type="cellIs" dxfId="215" priority="214" operator="notEqual">
      <formula>0</formula>
    </cfRule>
  </conditionalFormatting>
  <conditionalFormatting sqref="E81:E82">
    <cfRule type="cellIs" dxfId="214" priority="211" operator="equal">
      <formula>0</formula>
    </cfRule>
    <cfRule type="cellIs" dxfId="213" priority="212" operator="notEqual">
      <formula>0</formula>
    </cfRule>
  </conditionalFormatting>
  <conditionalFormatting sqref="F81:F82">
    <cfRule type="cellIs" dxfId="212" priority="209" operator="equal">
      <formula>0</formula>
    </cfRule>
    <cfRule type="cellIs" dxfId="211" priority="210" operator="notEqual">
      <formula>0</formula>
    </cfRule>
  </conditionalFormatting>
  <conditionalFormatting sqref="G81:G82">
    <cfRule type="cellIs" dxfId="210" priority="207" operator="equal">
      <formula>0</formula>
    </cfRule>
    <cfRule type="cellIs" dxfId="209" priority="208" operator="notEqual">
      <formula>0</formula>
    </cfRule>
  </conditionalFormatting>
  <conditionalFormatting sqref="H81:H82">
    <cfRule type="cellIs" dxfId="208" priority="205" operator="equal">
      <formula>0</formula>
    </cfRule>
    <cfRule type="cellIs" dxfId="207" priority="206" operator="notEqual">
      <formula>0</formula>
    </cfRule>
  </conditionalFormatting>
  <conditionalFormatting sqref="I81:I82">
    <cfRule type="cellIs" dxfId="206" priority="203" operator="equal">
      <formula>0</formula>
    </cfRule>
    <cfRule type="cellIs" dxfId="205" priority="204" operator="notEqual">
      <formula>0</formula>
    </cfRule>
  </conditionalFormatting>
  <conditionalFormatting sqref="J81:J82">
    <cfRule type="cellIs" dxfId="204" priority="201" operator="equal">
      <formula>0</formula>
    </cfRule>
    <cfRule type="cellIs" dxfId="203" priority="202" operator="notEqual">
      <formula>0</formula>
    </cfRule>
  </conditionalFormatting>
  <conditionalFormatting sqref="O80">
    <cfRule type="cellIs" dxfId="202" priority="199" operator="equal">
      <formula>0</formula>
    </cfRule>
    <cfRule type="cellIs" dxfId="201" priority="200" operator="greaterThan">
      <formula>0</formula>
    </cfRule>
  </conditionalFormatting>
  <conditionalFormatting sqref="P80">
    <cfRule type="cellIs" dxfId="200" priority="197" operator="equal">
      <formula>0</formula>
    </cfRule>
    <cfRule type="cellIs" dxfId="199" priority="198" operator="greaterThan">
      <formula>0</formula>
    </cfRule>
  </conditionalFormatting>
  <conditionalFormatting sqref="Q80">
    <cfRule type="cellIs" dxfId="198" priority="195" operator="equal">
      <formula>0</formula>
    </cfRule>
    <cfRule type="cellIs" dxfId="197" priority="196" operator="greaterThan">
      <formula>0</formula>
    </cfRule>
  </conditionalFormatting>
  <conditionalFormatting sqref="R80">
    <cfRule type="cellIs" dxfId="196" priority="193" operator="equal">
      <formula>0</formula>
    </cfRule>
    <cfRule type="cellIs" dxfId="195" priority="194" operator="greaterThan">
      <formula>0</formula>
    </cfRule>
  </conditionalFormatting>
  <conditionalFormatting sqref="C88:C89">
    <cfRule type="cellIs" dxfId="194" priority="191" operator="equal">
      <formula>0</formula>
    </cfRule>
    <cfRule type="cellIs" dxfId="193" priority="192" operator="notEqual">
      <formula>0</formula>
    </cfRule>
  </conditionalFormatting>
  <conditionalFormatting sqref="D88:D89">
    <cfRule type="cellIs" dxfId="192" priority="189" operator="equal">
      <formula>0</formula>
    </cfRule>
    <cfRule type="cellIs" dxfId="191" priority="190" operator="notEqual">
      <formula>0</formula>
    </cfRule>
  </conditionalFormatting>
  <conditionalFormatting sqref="E88:E89">
    <cfRule type="cellIs" dxfId="190" priority="187" operator="equal">
      <formula>0</formula>
    </cfRule>
    <cfRule type="cellIs" dxfId="189" priority="188" operator="notEqual">
      <formula>0</formula>
    </cfRule>
  </conditionalFormatting>
  <conditionalFormatting sqref="F88:F89">
    <cfRule type="cellIs" dxfId="188" priority="185" operator="equal">
      <formula>0</formula>
    </cfRule>
    <cfRule type="cellIs" dxfId="187" priority="186" operator="notEqual">
      <formula>0</formula>
    </cfRule>
  </conditionalFormatting>
  <conditionalFormatting sqref="G88:G89">
    <cfRule type="cellIs" dxfId="186" priority="183" operator="equal">
      <formula>0</formula>
    </cfRule>
    <cfRule type="cellIs" dxfId="185" priority="184" operator="notEqual">
      <formula>0</formula>
    </cfRule>
  </conditionalFormatting>
  <conditionalFormatting sqref="H88:H89">
    <cfRule type="cellIs" dxfId="184" priority="181" operator="equal">
      <formula>0</formula>
    </cfRule>
    <cfRule type="cellIs" dxfId="183" priority="182" operator="notEqual">
      <formula>0</formula>
    </cfRule>
  </conditionalFormatting>
  <conditionalFormatting sqref="I88:I89">
    <cfRule type="cellIs" dxfId="182" priority="179" operator="equal">
      <formula>0</formula>
    </cfRule>
    <cfRule type="cellIs" dxfId="181" priority="180" operator="notEqual">
      <formula>0</formula>
    </cfRule>
  </conditionalFormatting>
  <conditionalFormatting sqref="J88:J89">
    <cfRule type="cellIs" dxfId="180" priority="177" operator="equal">
      <formula>0</formula>
    </cfRule>
    <cfRule type="cellIs" dxfId="179" priority="178" operator="notEqual">
      <formula>0</formula>
    </cfRule>
  </conditionalFormatting>
  <conditionalFormatting sqref="O87">
    <cfRule type="cellIs" dxfId="178" priority="175" operator="equal">
      <formula>0</formula>
    </cfRule>
    <cfRule type="cellIs" dxfId="177" priority="176" operator="greaterThan">
      <formula>0</formula>
    </cfRule>
  </conditionalFormatting>
  <conditionalFormatting sqref="P87">
    <cfRule type="cellIs" dxfId="176" priority="173" operator="equal">
      <formula>0</formula>
    </cfRule>
    <cfRule type="cellIs" dxfId="175" priority="174" operator="greaterThan">
      <formula>0</formula>
    </cfRule>
  </conditionalFormatting>
  <conditionalFormatting sqref="Q87">
    <cfRule type="cellIs" dxfId="174" priority="171" operator="equal">
      <formula>0</formula>
    </cfRule>
    <cfRule type="cellIs" dxfId="173" priority="172" operator="greaterThan">
      <formula>0</formula>
    </cfRule>
  </conditionalFormatting>
  <conditionalFormatting sqref="R87">
    <cfRule type="cellIs" dxfId="172" priority="169" operator="equal">
      <formula>0</formula>
    </cfRule>
    <cfRule type="cellIs" dxfId="171" priority="170" operator="greaterThan">
      <formula>0</formula>
    </cfRule>
  </conditionalFormatting>
  <conditionalFormatting sqref="C95:C96">
    <cfRule type="cellIs" dxfId="170" priority="167" operator="equal">
      <formula>0</formula>
    </cfRule>
    <cfRule type="cellIs" dxfId="169" priority="168" operator="notEqual">
      <formula>0</formula>
    </cfRule>
  </conditionalFormatting>
  <conditionalFormatting sqref="D95:D96">
    <cfRule type="cellIs" dxfId="168" priority="165" operator="equal">
      <formula>0</formula>
    </cfRule>
    <cfRule type="cellIs" dxfId="167" priority="166" operator="notEqual">
      <formula>0</formula>
    </cfRule>
  </conditionalFormatting>
  <conditionalFormatting sqref="E95:E96">
    <cfRule type="cellIs" dxfId="166" priority="163" operator="equal">
      <formula>0</formula>
    </cfRule>
    <cfRule type="cellIs" dxfId="165" priority="164" operator="notEqual">
      <formula>0</formula>
    </cfRule>
  </conditionalFormatting>
  <conditionalFormatting sqref="F95:F96">
    <cfRule type="cellIs" dxfId="164" priority="161" operator="equal">
      <formula>0</formula>
    </cfRule>
    <cfRule type="cellIs" dxfId="163" priority="162" operator="notEqual">
      <formula>0</formula>
    </cfRule>
  </conditionalFormatting>
  <conditionalFormatting sqref="G95:G96">
    <cfRule type="cellIs" dxfId="162" priority="159" operator="equal">
      <formula>0</formula>
    </cfRule>
    <cfRule type="cellIs" dxfId="161" priority="160" operator="notEqual">
      <formula>0</formula>
    </cfRule>
  </conditionalFormatting>
  <conditionalFormatting sqref="H95:H96">
    <cfRule type="cellIs" dxfId="160" priority="157" operator="equal">
      <formula>0</formula>
    </cfRule>
    <cfRule type="cellIs" dxfId="159" priority="158" operator="notEqual">
      <formula>0</formula>
    </cfRule>
  </conditionalFormatting>
  <conditionalFormatting sqref="I95:I96">
    <cfRule type="cellIs" dxfId="158" priority="155" operator="equal">
      <formula>0</formula>
    </cfRule>
    <cfRule type="cellIs" dxfId="157" priority="156" operator="notEqual">
      <formula>0</formula>
    </cfRule>
  </conditionalFormatting>
  <conditionalFormatting sqref="J95:J96">
    <cfRule type="cellIs" dxfId="156" priority="153" operator="equal">
      <formula>0</formula>
    </cfRule>
    <cfRule type="cellIs" dxfId="155" priority="154" operator="notEqual">
      <formula>0</formula>
    </cfRule>
  </conditionalFormatting>
  <conditionalFormatting sqref="O94">
    <cfRule type="cellIs" dxfId="154" priority="151" operator="equal">
      <formula>0</formula>
    </cfRule>
    <cfRule type="cellIs" dxfId="153" priority="152" operator="greaterThan">
      <formula>0</formula>
    </cfRule>
  </conditionalFormatting>
  <conditionalFormatting sqref="P94">
    <cfRule type="cellIs" dxfId="152" priority="149" operator="equal">
      <formula>0</formula>
    </cfRule>
    <cfRule type="cellIs" dxfId="151" priority="150" operator="greaterThan">
      <formula>0</formula>
    </cfRule>
  </conditionalFormatting>
  <conditionalFormatting sqref="Q94">
    <cfRule type="cellIs" dxfId="150" priority="147" operator="equal">
      <formula>0</formula>
    </cfRule>
    <cfRule type="cellIs" dxfId="149" priority="148" operator="greaterThan">
      <formula>0</formula>
    </cfRule>
  </conditionalFormatting>
  <conditionalFormatting sqref="R94">
    <cfRule type="cellIs" dxfId="148" priority="145" operator="equal">
      <formula>0</formula>
    </cfRule>
    <cfRule type="cellIs" dxfId="147" priority="146" operator="greaterThan">
      <formula>0</formula>
    </cfRule>
  </conditionalFormatting>
  <conditionalFormatting sqref="C102:C103">
    <cfRule type="cellIs" dxfId="146" priority="143" operator="equal">
      <formula>0</formula>
    </cfRule>
    <cfRule type="cellIs" dxfId="145" priority="144" operator="notEqual">
      <formula>0</formula>
    </cfRule>
  </conditionalFormatting>
  <conditionalFormatting sqref="D102:D103">
    <cfRule type="cellIs" dxfId="144" priority="141" operator="equal">
      <formula>0</formula>
    </cfRule>
    <cfRule type="cellIs" dxfId="143" priority="142" operator="notEqual">
      <formula>0</formula>
    </cfRule>
  </conditionalFormatting>
  <conditionalFormatting sqref="E102:E103">
    <cfRule type="cellIs" dxfId="142" priority="139" operator="equal">
      <formula>0</formula>
    </cfRule>
    <cfRule type="cellIs" dxfId="141" priority="140" operator="notEqual">
      <formula>0</formula>
    </cfRule>
  </conditionalFormatting>
  <conditionalFormatting sqref="F102:F103">
    <cfRule type="cellIs" dxfId="140" priority="137" operator="equal">
      <formula>0</formula>
    </cfRule>
    <cfRule type="cellIs" dxfId="139" priority="138" operator="notEqual">
      <formula>0</formula>
    </cfRule>
  </conditionalFormatting>
  <conditionalFormatting sqref="G102:G103">
    <cfRule type="cellIs" dxfId="138" priority="135" operator="equal">
      <formula>0</formula>
    </cfRule>
    <cfRule type="cellIs" dxfId="137" priority="136" operator="notEqual">
      <formula>0</formula>
    </cfRule>
  </conditionalFormatting>
  <conditionalFormatting sqref="H102:H103">
    <cfRule type="cellIs" dxfId="136" priority="133" operator="equal">
      <formula>0</formula>
    </cfRule>
    <cfRule type="cellIs" dxfId="135" priority="134" operator="notEqual">
      <formula>0</formula>
    </cfRule>
  </conditionalFormatting>
  <conditionalFormatting sqref="I102:I103">
    <cfRule type="cellIs" dxfId="134" priority="131" operator="equal">
      <formula>0</formula>
    </cfRule>
    <cfRule type="cellIs" dxfId="133" priority="132" operator="notEqual">
      <formula>0</formula>
    </cfRule>
  </conditionalFormatting>
  <conditionalFormatting sqref="J102:J103">
    <cfRule type="cellIs" dxfId="132" priority="129" operator="equal">
      <formula>0</formula>
    </cfRule>
    <cfRule type="cellIs" dxfId="131" priority="130" operator="notEqual">
      <formula>0</formula>
    </cfRule>
  </conditionalFormatting>
  <conditionalFormatting sqref="O101">
    <cfRule type="cellIs" dxfId="130" priority="127" operator="equal">
      <formula>0</formula>
    </cfRule>
    <cfRule type="cellIs" dxfId="129" priority="128" operator="greaterThan">
      <formula>0</formula>
    </cfRule>
  </conditionalFormatting>
  <conditionalFormatting sqref="P101">
    <cfRule type="cellIs" dxfId="128" priority="125" operator="equal">
      <formula>0</formula>
    </cfRule>
    <cfRule type="cellIs" dxfId="127" priority="126" operator="greaterThan">
      <formula>0</formula>
    </cfRule>
  </conditionalFormatting>
  <conditionalFormatting sqref="Q101">
    <cfRule type="cellIs" dxfId="126" priority="123" operator="equal">
      <formula>0</formula>
    </cfRule>
    <cfRule type="cellIs" dxfId="125" priority="124" operator="greaterThan">
      <formula>0</formula>
    </cfRule>
  </conditionalFormatting>
  <conditionalFormatting sqref="R101">
    <cfRule type="cellIs" dxfId="124" priority="121" operator="equal">
      <formula>0</formula>
    </cfRule>
    <cfRule type="cellIs" dxfId="123" priority="122" operator="greaterThan">
      <formula>0</formula>
    </cfRule>
  </conditionalFormatting>
  <conditionalFormatting sqref="U74:U75">
    <cfRule type="cellIs" dxfId="122" priority="119" operator="equal">
      <formula>0</formula>
    </cfRule>
    <cfRule type="cellIs" dxfId="121" priority="120" operator="notEqual">
      <formula>0</formula>
    </cfRule>
  </conditionalFormatting>
  <conditionalFormatting sqref="V74:V75">
    <cfRule type="cellIs" dxfId="120" priority="117" operator="equal">
      <formula>0</formula>
    </cfRule>
    <cfRule type="cellIs" dxfId="119" priority="118" operator="notEqual">
      <formula>0</formula>
    </cfRule>
  </conditionalFormatting>
  <conditionalFormatting sqref="W74:W75">
    <cfRule type="cellIs" dxfId="118" priority="115" operator="equal">
      <formula>0</formula>
    </cfRule>
    <cfRule type="cellIs" dxfId="117" priority="116" operator="notEqual">
      <formula>0</formula>
    </cfRule>
  </conditionalFormatting>
  <conditionalFormatting sqref="X74:X75">
    <cfRule type="cellIs" dxfId="116" priority="113" operator="equal">
      <formula>0</formula>
    </cfRule>
    <cfRule type="cellIs" dxfId="115" priority="114" operator="notEqual">
      <formula>0</formula>
    </cfRule>
  </conditionalFormatting>
  <conditionalFormatting sqref="Y74:Y75">
    <cfRule type="cellIs" dxfId="114" priority="111" operator="equal">
      <formula>0</formula>
    </cfRule>
    <cfRule type="cellIs" dxfId="113" priority="112" operator="notEqual">
      <formula>0</formula>
    </cfRule>
  </conditionalFormatting>
  <conditionalFormatting sqref="Z74:Z75">
    <cfRule type="cellIs" dxfId="112" priority="109" operator="equal">
      <formula>0</formula>
    </cfRule>
    <cfRule type="cellIs" dxfId="111" priority="110" operator="notEqual">
      <formula>0</formula>
    </cfRule>
  </conditionalFormatting>
  <conditionalFormatting sqref="AA74:AA75">
    <cfRule type="cellIs" dxfId="110" priority="107" operator="equal">
      <formula>0</formula>
    </cfRule>
    <cfRule type="cellIs" dxfId="109" priority="108" operator="notEqual">
      <formula>0</formula>
    </cfRule>
  </conditionalFormatting>
  <conditionalFormatting sqref="AB74:AB75">
    <cfRule type="cellIs" dxfId="108" priority="105" operator="equal">
      <formula>0</formula>
    </cfRule>
    <cfRule type="cellIs" dxfId="107" priority="106" operator="notEqual">
      <formula>0</formula>
    </cfRule>
  </conditionalFormatting>
  <conditionalFormatting sqref="AG73">
    <cfRule type="cellIs" dxfId="106" priority="103" operator="equal">
      <formula>0</formula>
    </cfRule>
    <cfRule type="cellIs" dxfId="105" priority="104" operator="greaterThan">
      <formula>0</formula>
    </cfRule>
  </conditionalFormatting>
  <conditionalFormatting sqref="AH73">
    <cfRule type="cellIs" dxfId="104" priority="101" operator="equal">
      <formula>0</formula>
    </cfRule>
    <cfRule type="cellIs" dxfId="103" priority="102" operator="greaterThan">
      <formula>0</formula>
    </cfRule>
  </conditionalFormatting>
  <conditionalFormatting sqref="AI73">
    <cfRule type="cellIs" dxfId="102" priority="99" operator="equal">
      <formula>0</formula>
    </cfRule>
    <cfRule type="cellIs" dxfId="101" priority="100" operator="greaterThan">
      <formula>0</formula>
    </cfRule>
  </conditionalFormatting>
  <conditionalFormatting sqref="AJ73">
    <cfRule type="cellIs" dxfId="100" priority="97" operator="equal">
      <formula>0</formula>
    </cfRule>
    <cfRule type="cellIs" dxfId="99" priority="98" operator="greaterThan">
      <formula>0</formula>
    </cfRule>
  </conditionalFormatting>
  <conditionalFormatting sqref="U81:U82">
    <cfRule type="cellIs" dxfId="98" priority="95" operator="equal">
      <formula>0</formula>
    </cfRule>
    <cfRule type="cellIs" dxfId="97" priority="96" operator="notEqual">
      <formula>0</formula>
    </cfRule>
  </conditionalFormatting>
  <conditionalFormatting sqref="V81:V82">
    <cfRule type="cellIs" dxfId="96" priority="93" operator="equal">
      <formula>0</formula>
    </cfRule>
    <cfRule type="cellIs" dxfId="95" priority="94" operator="notEqual">
      <formula>0</formula>
    </cfRule>
  </conditionalFormatting>
  <conditionalFormatting sqref="W81:W82">
    <cfRule type="cellIs" dxfId="94" priority="91" operator="equal">
      <formula>0</formula>
    </cfRule>
    <cfRule type="cellIs" dxfId="93" priority="92" operator="notEqual">
      <formula>0</formula>
    </cfRule>
  </conditionalFormatting>
  <conditionalFormatting sqref="X81:X82">
    <cfRule type="cellIs" dxfId="92" priority="89" operator="equal">
      <formula>0</formula>
    </cfRule>
    <cfRule type="cellIs" dxfId="91" priority="90" operator="notEqual">
      <formula>0</formula>
    </cfRule>
  </conditionalFormatting>
  <conditionalFormatting sqref="Y81:Y82">
    <cfRule type="cellIs" dxfId="90" priority="87" operator="equal">
      <formula>0</formula>
    </cfRule>
    <cfRule type="cellIs" dxfId="89" priority="88" operator="notEqual">
      <formula>0</formula>
    </cfRule>
  </conditionalFormatting>
  <conditionalFormatting sqref="Z81:Z82">
    <cfRule type="cellIs" dxfId="88" priority="85" operator="equal">
      <formula>0</formula>
    </cfRule>
    <cfRule type="cellIs" dxfId="87" priority="86" operator="notEqual">
      <formula>0</formula>
    </cfRule>
  </conditionalFormatting>
  <conditionalFormatting sqref="AA81:AA82">
    <cfRule type="cellIs" dxfId="86" priority="83" operator="equal">
      <formula>0</formula>
    </cfRule>
    <cfRule type="cellIs" dxfId="85" priority="84" operator="notEqual">
      <formula>0</formula>
    </cfRule>
  </conditionalFormatting>
  <conditionalFormatting sqref="AB81:AB82">
    <cfRule type="cellIs" dxfId="84" priority="81" operator="equal">
      <formula>0</formula>
    </cfRule>
    <cfRule type="cellIs" dxfId="83" priority="82" operator="notEqual">
      <formula>0</formula>
    </cfRule>
  </conditionalFormatting>
  <conditionalFormatting sqref="AG80">
    <cfRule type="cellIs" dxfId="82" priority="79" operator="equal">
      <formula>0</formula>
    </cfRule>
    <cfRule type="cellIs" dxfId="81" priority="80" operator="greaterThan">
      <formula>0</formula>
    </cfRule>
  </conditionalFormatting>
  <conditionalFormatting sqref="AH80">
    <cfRule type="cellIs" dxfId="80" priority="77" operator="equal">
      <formula>0</formula>
    </cfRule>
    <cfRule type="cellIs" dxfId="79" priority="78" operator="greaterThan">
      <formula>0</formula>
    </cfRule>
  </conditionalFormatting>
  <conditionalFormatting sqref="AI80">
    <cfRule type="cellIs" dxfId="78" priority="75" operator="equal">
      <formula>0</formula>
    </cfRule>
    <cfRule type="cellIs" dxfId="77" priority="76" operator="greaterThan">
      <formula>0</formula>
    </cfRule>
  </conditionalFormatting>
  <conditionalFormatting sqref="AJ80">
    <cfRule type="cellIs" dxfId="76" priority="73" operator="equal">
      <formula>0</formula>
    </cfRule>
    <cfRule type="cellIs" dxfId="75" priority="74" operator="greaterThan">
      <formula>0</formula>
    </cfRule>
  </conditionalFormatting>
  <conditionalFormatting sqref="U88:U89">
    <cfRule type="cellIs" dxfId="74" priority="71" operator="equal">
      <formula>0</formula>
    </cfRule>
    <cfRule type="cellIs" dxfId="73" priority="72" operator="notEqual">
      <formula>0</formula>
    </cfRule>
  </conditionalFormatting>
  <conditionalFormatting sqref="V88:V89">
    <cfRule type="cellIs" dxfId="72" priority="69" operator="equal">
      <formula>0</formula>
    </cfRule>
    <cfRule type="cellIs" dxfId="71" priority="70" operator="notEqual">
      <formula>0</formula>
    </cfRule>
  </conditionalFormatting>
  <conditionalFormatting sqref="W88:W89">
    <cfRule type="cellIs" dxfId="70" priority="67" operator="equal">
      <formula>0</formula>
    </cfRule>
    <cfRule type="cellIs" dxfId="69" priority="68" operator="notEqual">
      <formula>0</formula>
    </cfRule>
  </conditionalFormatting>
  <conditionalFormatting sqref="X88:X89">
    <cfRule type="cellIs" dxfId="68" priority="65" operator="equal">
      <formula>0</formula>
    </cfRule>
    <cfRule type="cellIs" dxfId="67" priority="66" operator="notEqual">
      <formula>0</formula>
    </cfRule>
  </conditionalFormatting>
  <conditionalFormatting sqref="Y88:Y89">
    <cfRule type="cellIs" dxfId="66" priority="63" operator="equal">
      <formula>0</formula>
    </cfRule>
    <cfRule type="cellIs" dxfId="65" priority="64" operator="notEqual">
      <formula>0</formula>
    </cfRule>
  </conditionalFormatting>
  <conditionalFormatting sqref="Z88:Z89">
    <cfRule type="cellIs" dxfId="64" priority="61" operator="equal">
      <formula>0</formula>
    </cfRule>
    <cfRule type="cellIs" dxfId="63" priority="62" operator="notEqual">
      <formula>0</formula>
    </cfRule>
  </conditionalFormatting>
  <conditionalFormatting sqref="AA88:AA89">
    <cfRule type="cellIs" dxfId="62" priority="59" operator="equal">
      <formula>0</formula>
    </cfRule>
    <cfRule type="cellIs" dxfId="61" priority="60" operator="notEqual">
      <formula>0</formula>
    </cfRule>
  </conditionalFormatting>
  <conditionalFormatting sqref="AB88:AB89">
    <cfRule type="cellIs" dxfId="60" priority="57" operator="equal">
      <formula>0</formula>
    </cfRule>
    <cfRule type="cellIs" dxfId="59" priority="58" operator="notEqual">
      <formula>0</formula>
    </cfRule>
  </conditionalFormatting>
  <conditionalFormatting sqref="AG87">
    <cfRule type="cellIs" dxfId="58" priority="55" operator="equal">
      <formula>0</formula>
    </cfRule>
    <cfRule type="cellIs" dxfId="57" priority="56" operator="greaterThan">
      <formula>0</formula>
    </cfRule>
  </conditionalFormatting>
  <conditionalFormatting sqref="AH87">
    <cfRule type="cellIs" dxfId="56" priority="53" operator="equal">
      <formula>0</formula>
    </cfRule>
    <cfRule type="cellIs" dxfId="55" priority="54" operator="greaterThan">
      <formula>0</formula>
    </cfRule>
  </conditionalFormatting>
  <conditionalFormatting sqref="AI87">
    <cfRule type="cellIs" dxfId="54" priority="51" operator="equal">
      <formula>0</formula>
    </cfRule>
    <cfRule type="cellIs" dxfId="53" priority="52" operator="greaterThan">
      <formula>0</formula>
    </cfRule>
  </conditionalFormatting>
  <conditionalFormatting sqref="AJ87">
    <cfRule type="cellIs" dxfId="52" priority="49" operator="equal">
      <formula>0</formula>
    </cfRule>
    <cfRule type="cellIs" dxfId="51" priority="50" operator="greaterThan">
      <formula>0</formula>
    </cfRule>
  </conditionalFormatting>
  <conditionalFormatting sqref="U95:U96">
    <cfRule type="cellIs" dxfId="50" priority="47" operator="equal">
      <formula>0</formula>
    </cfRule>
    <cfRule type="cellIs" dxfId="49" priority="48" operator="notEqual">
      <formula>0</formula>
    </cfRule>
  </conditionalFormatting>
  <conditionalFormatting sqref="V95:V96">
    <cfRule type="cellIs" dxfId="48" priority="45" operator="equal">
      <formula>0</formula>
    </cfRule>
    <cfRule type="cellIs" dxfId="47" priority="46" operator="notEqual">
      <formula>0</formula>
    </cfRule>
  </conditionalFormatting>
  <conditionalFormatting sqref="W95:W96">
    <cfRule type="cellIs" dxfId="46" priority="43" operator="equal">
      <formula>0</formula>
    </cfRule>
    <cfRule type="cellIs" dxfId="45" priority="44" operator="notEqual">
      <formula>0</formula>
    </cfRule>
  </conditionalFormatting>
  <conditionalFormatting sqref="X95:X96">
    <cfRule type="cellIs" dxfId="44" priority="41" operator="equal">
      <formula>0</formula>
    </cfRule>
    <cfRule type="cellIs" dxfId="43" priority="42" operator="notEqual">
      <formula>0</formula>
    </cfRule>
  </conditionalFormatting>
  <conditionalFormatting sqref="Y95:Y96">
    <cfRule type="cellIs" dxfId="42" priority="39" operator="equal">
      <formula>0</formula>
    </cfRule>
    <cfRule type="cellIs" dxfId="41" priority="40" operator="notEqual">
      <formula>0</formula>
    </cfRule>
  </conditionalFormatting>
  <conditionalFormatting sqref="Z95:Z96">
    <cfRule type="cellIs" dxfId="40" priority="37" operator="equal">
      <formula>0</formula>
    </cfRule>
    <cfRule type="cellIs" dxfId="39" priority="38" operator="notEqual">
      <formula>0</formula>
    </cfRule>
  </conditionalFormatting>
  <conditionalFormatting sqref="AA95:AA96">
    <cfRule type="cellIs" dxfId="38" priority="35" operator="equal">
      <formula>0</formula>
    </cfRule>
    <cfRule type="cellIs" dxfId="37" priority="36" operator="notEqual">
      <formula>0</formula>
    </cfRule>
  </conditionalFormatting>
  <conditionalFormatting sqref="AB95:AB96">
    <cfRule type="cellIs" dxfId="36" priority="33" operator="equal">
      <formula>0</formula>
    </cfRule>
    <cfRule type="cellIs" dxfId="35" priority="34" operator="notEqual">
      <formula>0</formula>
    </cfRule>
  </conditionalFormatting>
  <conditionalFormatting sqref="AG94">
    <cfRule type="cellIs" dxfId="34" priority="31" operator="equal">
      <formula>0</formula>
    </cfRule>
    <cfRule type="cellIs" dxfId="33" priority="32" operator="greaterThan">
      <formula>0</formula>
    </cfRule>
  </conditionalFormatting>
  <conditionalFormatting sqref="AH94">
    <cfRule type="cellIs" dxfId="32" priority="29" operator="equal">
      <formula>0</formula>
    </cfRule>
    <cfRule type="cellIs" dxfId="31" priority="30" operator="greaterThan">
      <formula>0</formula>
    </cfRule>
  </conditionalFormatting>
  <conditionalFormatting sqref="AI94">
    <cfRule type="cellIs" dxfId="30" priority="27" operator="equal">
      <formula>0</formula>
    </cfRule>
    <cfRule type="cellIs" dxfId="29" priority="28" operator="greaterThan">
      <formula>0</formula>
    </cfRule>
  </conditionalFormatting>
  <conditionalFormatting sqref="AJ94">
    <cfRule type="cellIs" dxfId="28" priority="25" operator="equal">
      <formula>0</formula>
    </cfRule>
    <cfRule type="cellIs" dxfId="27" priority="26" operator="greaterThan">
      <formula>0</formula>
    </cfRule>
  </conditionalFormatting>
  <conditionalFormatting sqref="U102:U103">
    <cfRule type="cellIs" dxfId="26" priority="23" operator="equal">
      <formula>0</formula>
    </cfRule>
    <cfRule type="cellIs" dxfId="25" priority="24" operator="notEqual">
      <formula>0</formula>
    </cfRule>
  </conditionalFormatting>
  <conditionalFormatting sqref="V102:V103">
    <cfRule type="cellIs" dxfId="24" priority="21" operator="equal">
      <formula>0</formula>
    </cfRule>
    <cfRule type="cellIs" dxfId="23" priority="22" operator="notEqual">
      <formula>0</formula>
    </cfRule>
  </conditionalFormatting>
  <conditionalFormatting sqref="W102:W103">
    <cfRule type="cellIs" dxfId="22" priority="19" operator="equal">
      <formula>0</formula>
    </cfRule>
    <cfRule type="cellIs" dxfId="21" priority="20" operator="notEqual">
      <formula>0</formula>
    </cfRule>
  </conditionalFormatting>
  <conditionalFormatting sqref="X102:X103">
    <cfRule type="cellIs" dxfId="20" priority="17" operator="equal">
      <formula>0</formula>
    </cfRule>
    <cfRule type="cellIs" dxfId="19" priority="18" operator="notEqual">
      <formula>0</formula>
    </cfRule>
  </conditionalFormatting>
  <conditionalFormatting sqref="Y102:Y103">
    <cfRule type="cellIs" dxfId="18" priority="15" operator="equal">
      <formula>0</formula>
    </cfRule>
    <cfRule type="cellIs" dxfId="17" priority="16" operator="notEqual">
      <formula>0</formula>
    </cfRule>
  </conditionalFormatting>
  <conditionalFormatting sqref="Z102:Z103">
    <cfRule type="cellIs" dxfId="16" priority="13" operator="equal">
      <formula>0</formula>
    </cfRule>
    <cfRule type="cellIs" dxfId="15" priority="14" operator="notEqual">
      <formula>0</formula>
    </cfRule>
  </conditionalFormatting>
  <conditionalFormatting sqref="AA102:AA103">
    <cfRule type="cellIs" dxfId="14" priority="11" operator="equal">
      <formula>0</formula>
    </cfRule>
    <cfRule type="cellIs" dxfId="13" priority="12" operator="notEqual">
      <formula>0</formula>
    </cfRule>
  </conditionalFormatting>
  <conditionalFormatting sqref="AB102:AB103">
    <cfRule type="cellIs" dxfId="12" priority="9" operator="equal">
      <formula>0</formula>
    </cfRule>
    <cfRule type="cellIs" dxfId="11" priority="10" operator="notEqual">
      <formula>0</formula>
    </cfRule>
  </conditionalFormatting>
  <conditionalFormatting sqref="AG101">
    <cfRule type="cellIs" dxfId="10" priority="7" operator="equal">
      <formula>0</formula>
    </cfRule>
    <cfRule type="cellIs" dxfId="9" priority="8" operator="greaterThan">
      <formula>0</formula>
    </cfRule>
  </conditionalFormatting>
  <conditionalFormatting sqref="AH101">
    <cfRule type="cellIs" dxfId="8" priority="5" operator="equal">
      <formula>0</formula>
    </cfRule>
    <cfRule type="cellIs" dxfId="7" priority="6" operator="greaterThan">
      <formula>0</formula>
    </cfRule>
  </conditionalFormatting>
  <conditionalFormatting sqref="AI101">
    <cfRule type="cellIs" dxfId="6" priority="3" operator="equal">
      <formula>0</formula>
    </cfRule>
    <cfRule type="cellIs" dxfId="5" priority="4" operator="greaterThan">
      <formula>0</formula>
    </cfRule>
  </conditionalFormatting>
  <conditionalFormatting sqref="AJ101">
    <cfRule type="cellIs" dxfId="4" priority="1" operator="equal">
      <formula>0</formula>
    </cfRule>
    <cfRule type="cellIs" dxfId="3"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defaultColWidth="9.140625" defaultRowHeight="15" x14ac:dyDescent="0.2"/>
  <cols>
    <col min="1" max="1" width="3.42578125" style="1" customWidth="1"/>
    <col min="2" max="2" width="31.42578125" style="1" bestFit="1" customWidth="1"/>
    <col min="3" max="3" width="14.42578125" style="1" bestFit="1" customWidth="1"/>
    <col min="4" max="4" width="15.42578125" style="1" customWidth="1"/>
    <col min="5" max="5" width="13" style="1" bestFit="1" customWidth="1"/>
    <col min="6" max="6" width="15.42578125" style="1" customWidth="1"/>
    <col min="7" max="7" width="9.140625" style="1"/>
    <col min="8" max="8" width="15.42578125" style="1" customWidth="1"/>
    <col min="9" max="9" width="15.140625" style="1" customWidth="1"/>
    <col min="10" max="10" width="12.85546875" style="1" bestFit="1" customWidth="1"/>
    <col min="11" max="11" width="14.42578125" style="1" customWidth="1"/>
    <col min="12" max="12" width="13.140625" style="1" customWidth="1"/>
    <col min="13" max="13" width="10.42578125" style="1" bestFit="1" customWidth="1"/>
    <col min="14" max="16384" width="9.140625" style="1"/>
  </cols>
  <sheetData>
    <row r="1" spans="1:25" ht="59.25" customHeight="1" x14ac:dyDescent="0.2">
      <c r="A1" s="536" t="s">
        <v>1165</v>
      </c>
      <c r="B1" s="536"/>
      <c r="C1" s="536"/>
      <c r="D1" s="536"/>
      <c r="E1" s="536"/>
      <c r="F1" s="536"/>
      <c r="G1" s="536"/>
      <c r="H1" s="536"/>
      <c r="I1" s="536"/>
      <c r="J1" s="536"/>
      <c r="K1" s="536"/>
      <c r="L1" s="536"/>
      <c r="M1" s="265"/>
      <c r="N1" s="265"/>
      <c r="O1" s="265"/>
      <c r="P1" s="265"/>
      <c r="Q1" s="265"/>
      <c r="R1" s="265"/>
      <c r="S1" s="265"/>
      <c r="T1" s="265"/>
      <c r="U1" s="265"/>
      <c r="V1" s="265"/>
      <c r="W1" s="265"/>
      <c r="X1" s="265"/>
      <c r="Y1" s="265"/>
    </row>
    <row r="2" spans="1:25" ht="39" customHeight="1" x14ac:dyDescent="0.2">
      <c r="A2" s="430"/>
      <c r="B2" s="430"/>
      <c r="C2" s="430"/>
      <c r="D2" s="430"/>
      <c r="E2" s="430"/>
      <c r="F2" s="430"/>
      <c r="G2" s="430"/>
      <c r="H2" s="430"/>
      <c r="I2" s="430"/>
      <c r="J2" s="430"/>
      <c r="K2" s="430"/>
      <c r="L2" s="430"/>
      <c r="M2" s="266"/>
      <c r="N2" s="266"/>
      <c r="O2" s="266"/>
      <c r="P2" s="266"/>
      <c r="Q2" s="266"/>
      <c r="R2" s="266"/>
      <c r="S2" s="266"/>
      <c r="T2" s="266"/>
      <c r="U2" s="266"/>
      <c r="V2" s="266"/>
      <c r="W2" s="266"/>
      <c r="X2" s="266"/>
      <c r="Y2" s="266"/>
    </row>
    <row r="3" spans="1:25" ht="14.25" customHeight="1" x14ac:dyDescent="0.2"/>
    <row r="4" spans="1:25" ht="63.75" x14ac:dyDescent="0.2">
      <c r="B4" s="146"/>
      <c r="C4" s="219" t="s">
        <v>959</v>
      </c>
      <c r="D4" s="63" t="s">
        <v>960</v>
      </c>
      <c r="E4" s="63" t="s">
        <v>961</v>
      </c>
      <c r="F4" s="63" t="s">
        <v>962</v>
      </c>
      <c r="G4" s="91"/>
      <c r="H4" s="219" t="s">
        <v>963</v>
      </c>
      <c r="I4" s="219" t="s">
        <v>964</v>
      </c>
      <c r="J4" s="91"/>
      <c r="K4" s="219" t="s">
        <v>965</v>
      </c>
      <c r="L4" s="219" t="s">
        <v>966</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5.75"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5.75" thickBot="1" x14ac:dyDescent="0.25">
      <c r="B17" s="150" t="s">
        <v>1348</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2" priority="3" operator="lessThan">
      <formula>0.9</formula>
    </cfRule>
    <cfRule type="cellIs" dxfId="1"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defaultColWidth="8.85546875" defaultRowHeight="15" x14ac:dyDescent="0.25"/>
  <cols>
    <col min="1" max="1" width="5.42578125" customWidth="1"/>
    <col min="2" max="2" width="38.42578125" customWidth="1"/>
    <col min="3" max="3" width="34" customWidth="1"/>
    <col min="4" max="4" width="14.42578125" customWidth="1"/>
    <col min="5" max="5" width="15.42578125" customWidth="1"/>
    <col min="6" max="6" width="28.140625" customWidth="1"/>
    <col min="7" max="7" width="37.42578125" customWidth="1"/>
    <col min="8" max="8" width="14.42578125" customWidth="1"/>
    <col min="10" max="10" width="23.42578125" customWidth="1"/>
    <col min="11" max="11" width="32.42578125" bestFit="1" customWidth="1"/>
    <col min="12" max="12" width="28" customWidth="1"/>
  </cols>
  <sheetData>
    <row r="1" spans="1:18" ht="46.5" customHeight="1" x14ac:dyDescent="0.25">
      <c r="A1" s="536" t="s">
        <v>1166</v>
      </c>
      <c r="B1" s="536"/>
      <c r="C1" s="536"/>
      <c r="D1" s="536"/>
      <c r="E1" s="536"/>
      <c r="F1" s="536"/>
      <c r="G1" s="536"/>
      <c r="H1" s="536"/>
      <c r="I1" s="536"/>
      <c r="J1" s="536"/>
      <c r="K1" s="536"/>
      <c r="L1" s="536"/>
      <c r="M1" s="261"/>
      <c r="N1" s="261"/>
      <c r="O1" s="261"/>
      <c r="P1" s="261"/>
      <c r="Q1" s="261"/>
      <c r="R1" s="261"/>
    </row>
    <row r="2" spans="1:18" ht="40.5" customHeight="1" x14ac:dyDescent="0.25">
      <c r="A2" s="430"/>
      <c r="B2" s="430"/>
      <c r="C2" s="430"/>
      <c r="D2" s="430"/>
      <c r="E2" s="430"/>
      <c r="F2" s="430"/>
      <c r="G2" s="430"/>
      <c r="H2" s="430"/>
      <c r="I2" s="430"/>
      <c r="J2" s="430"/>
      <c r="K2" s="430"/>
      <c r="L2" s="430"/>
      <c r="M2" s="267"/>
      <c r="N2" s="267"/>
      <c r="O2" s="267"/>
      <c r="P2" s="267"/>
      <c r="Q2" s="267"/>
      <c r="R2" s="267"/>
    </row>
    <row r="4" spans="1:18" ht="15.75" x14ac:dyDescent="0.25">
      <c r="B4" s="548" t="s">
        <v>1167</v>
      </c>
      <c r="C4" s="549"/>
      <c r="D4" s="549"/>
      <c r="E4" s="6"/>
      <c r="F4" s="448" t="s">
        <v>1168</v>
      </c>
      <c r="G4" s="448"/>
      <c r="H4" s="550"/>
    </row>
    <row r="5" spans="1:18" x14ac:dyDescent="0.25">
      <c r="B5" s="76" t="s">
        <v>1169</v>
      </c>
      <c r="C5" s="76" t="s">
        <v>877</v>
      </c>
      <c r="D5" s="219" t="s">
        <v>868</v>
      </c>
      <c r="E5" s="165"/>
      <c r="F5" s="76" t="s">
        <v>1169</v>
      </c>
      <c r="G5" s="76" t="s">
        <v>877</v>
      </c>
      <c r="H5" s="166" t="s">
        <v>869</v>
      </c>
    </row>
    <row r="6" spans="1:18" x14ac:dyDescent="0.2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2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2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2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2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2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2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2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2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2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25">
      <c r="B17" s="551" t="s">
        <v>1170</v>
      </c>
      <c r="C17" s="552"/>
      <c r="D17" s="553"/>
      <c r="F17" s="546" t="s">
        <v>1171</v>
      </c>
      <c r="G17" s="546"/>
      <c r="H17" s="546"/>
      <c r="J17" s="546" t="s">
        <v>1172</v>
      </c>
      <c r="K17" s="546"/>
      <c r="L17" s="546"/>
    </row>
    <row r="18" spans="2:12" ht="30.75" customHeight="1" x14ac:dyDescent="0.25">
      <c r="B18" s="554"/>
      <c r="C18" s="555"/>
      <c r="D18" s="556"/>
      <c r="F18" s="547"/>
      <c r="G18" s="547"/>
      <c r="H18" s="547"/>
      <c r="J18" s="547"/>
      <c r="K18" s="547"/>
      <c r="L18" s="547"/>
    </row>
    <row r="19" spans="2:12" ht="39" customHeight="1" x14ac:dyDescent="0.25">
      <c r="B19" s="76" t="s">
        <v>1169</v>
      </c>
      <c r="C19" s="76" t="s">
        <v>877</v>
      </c>
      <c r="D19" s="219" t="s">
        <v>1173</v>
      </c>
      <c r="F19" s="76" t="s">
        <v>1169</v>
      </c>
      <c r="G19" s="76" t="s">
        <v>877</v>
      </c>
      <c r="H19" s="76" t="s">
        <v>1174</v>
      </c>
      <c r="J19" s="76" t="s">
        <v>1169</v>
      </c>
      <c r="K19" s="76" t="s">
        <v>877</v>
      </c>
      <c r="L19" s="76" t="s">
        <v>1174</v>
      </c>
    </row>
    <row r="20" spans="2:12" x14ac:dyDescent="0.2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2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2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2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2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2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2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2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2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2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25">
      <c r="B32" s="546" t="s">
        <v>1175</v>
      </c>
      <c r="C32" s="546"/>
      <c r="D32" s="546"/>
      <c r="F32" s="546" t="s">
        <v>1176</v>
      </c>
      <c r="G32" s="546"/>
      <c r="H32" s="546"/>
    </row>
    <row r="33" spans="2:8" ht="30" customHeight="1" x14ac:dyDescent="0.25">
      <c r="B33" s="547"/>
      <c r="C33" s="547"/>
      <c r="D33" s="547"/>
      <c r="F33" s="547"/>
      <c r="G33" s="547"/>
      <c r="H33" s="547"/>
    </row>
    <row r="34" spans="2:8" x14ac:dyDescent="0.25">
      <c r="B34" s="76" t="s">
        <v>1169</v>
      </c>
      <c r="C34" s="76" t="s">
        <v>877</v>
      </c>
      <c r="D34" s="76" t="s">
        <v>1174</v>
      </c>
      <c r="F34" s="76" t="s">
        <v>1169</v>
      </c>
      <c r="G34" s="76" t="s">
        <v>877</v>
      </c>
      <c r="H34" s="76" t="s">
        <v>1174</v>
      </c>
    </row>
    <row r="35" spans="2:8" x14ac:dyDescent="0.2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2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2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2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2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2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2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2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2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2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defaultColWidth="8.85546875" defaultRowHeight="15" x14ac:dyDescent="0.25"/>
  <cols>
    <col min="1" max="1" width="1.42578125" customWidth="1"/>
    <col min="2" max="2" width="29.42578125" bestFit="1" customWidth="1"/>
    <col min="3" max="3" width="13.85546875" customWidth="1"/>
    <col min="4" max="4" width="17.42578125" customWidth="1"/>
    <col min="5" max="5" width="19.28515625" customWidth="1"/>
    <col min="6" max="6" width="16" customWidth="1"/>
    <col min="7" max="7" width="13.85546875" customWidth="1"/>
    <col min="8" max="8" width="35.140625" customWidth="1"/>
    <col min="9" max="9" width="14.28515625" customWidth="1"/>
    <col min="10" max="10" width="19.42578125" customWidth="1"/>
    <col min="11" max="11" width="18.140625" customWidth="1"/>
    <col min="12" max="12" width="16.85546875" customWidth="1"/>
    <col min="13" max="13" width="14" customWidth="1"/>
    <col min="14" max="14" width="11.85546875" customWidth="1"/>
    <col min="15" max="15" width="35.140625" bestFit="1" customWidth="1"/>
  </cols>
  <sheetData>
    <row r="1" spans="1:17" ht="47.25" customHeight="1" x14ac:dyDescent="0.25">
      <c r="A1" s="536" t="s">
        <v>1177</v>
      </c>
      <c r="B1" s="536"/>
      <c r="C1" s="536"/>
      <c r="D1" s="536"/>
      <c r="E1" s="536"/>
      <c r="F1" s="536"/>
      <c r="G1" s="536"/>
      <c r="H1" s="536"/>
      <c r="I1" s="536"/>
      <c r="J1" s="536"/>
      <c r="K1" s="536"/>
      <c r="L1" s="536"/>
      <c r="M1" s="261"/>
      <c r="N1" s="261"/>
      <c r="O1" s="261"/>
      <c r="P1" s="261"/>
      <c r="Q1" s="261"/>
    </row>
    <row r="2" spans="1:17" ht="41.25" customHeight="1" x14ac:dyDescent="0.25">
      <c r="A2" s="430"/>
      <c r="B2" s="430"/>
      <c r="C2" s="430"/>
      <c r="D2" s="430"/>
      <c r="E2" s="430"/>
      <c r="F2" s="430"/>
      <c r="G2" s="430"/>
      <c r="H2" s="430"/>
      <c r="I2" s="430"/>
      <c r="J2" s="430"/>
      <c r="K2" s="430"/>
      <c r="L2" s="430"/>
      <c r="M2" s="267"/>
      <c r="N2" s="267"/>
      <c r="O2" s="267"/>
      <c r="P2" s="267"/>
      <c r="Q2" s="267"/>
    </row>
    <row r="3" spans="1:17" ht="30" customHeight="1" x14ac:dyDescent="0.25">
      <c r="B3" s="19"/>
      <c r="C3" s="19"/>
      <c r="D3" s="19"/>
      <c r="E3" s="19"/>
      <c r="F3" s="19"/>
      <c r="G3" s="19"/>
      <c r="H3" s="19"/>
      <c r="I3" s="19"/>
      <c r="J3" s="19"/>
      <c r="K3" s="19"/>
      <c r="L3" s="19"/>
      <c r="M3" s="19"/>
      <c r="N3" s="19"/>
      <c r="O3" s="19"/>
    </row>
    <row r="4" spans="1:17" ht="16.5" thickBot="1" x14ac:dyDescent="0.3">
      <c r="B4" s="557" t="s">
        <v>1178</v>
      </c>
      <c r="C4" s="558"/>
      <c r="D4" s="558"/>
      <c r="E4" s="558"/>
      <c r="F4" s="558"/>
      <c r="G4" s="33"/>
      <c r="H4" s="561" t="s">
        <v>1179</v>
      </c>
      <c r="I4" s="562"/>
      <c r="J4" s="562"/>
      <c r="K4" s="562"/>
      <c r="L4" s="562"/>
      <c r="O4" s="33"/>
    </row>
    <row r="5" spans="1:17" ht="38.25" x14ac:dyDescent="0.25">
      <c r="B5" s="168"/>
      <c r="C5" s="192" t="s">
        <v>1180</v>
      </c>
      <c r="D5" s="192" t="s">
        <v>971</v>
      </c>
      <c r="E5" s="193" t="s">
        <v>1181</v>
      </c>
      <c r="F5" s="157" t="s">
        <v>1182</v>
      </c>
      <c r="G5" s="153"/>
      <c r="H5" s="168"/>
      <c r="I5" s="157" t="s">
        <v>1183</v>
      </c>
      <c r="J5" s="157" t="s">
        <v>1184</v>
      </c>
      <c r="K5" s="157" t="s">
        <v>1185</v>
      </c>
      <c r="L5" s="157" t="s">
        <v>1186</v>
      </c>
      <c r="O5" s="34"/>
    </row>
    <row r="6" spans="1:17" ht="15.75" x14ac:dyDescent="0.25">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5.75" x14ac:dyDescent="0.25">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5.75" x14ac:dyDescent="0.25">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5.75" x14ac:dyDescent="0.25">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5.75" x14ac:dyDescent="0.25">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5.75" x14ac:dyDescent="0.25">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5.75" x14ac:dyDescent="0.25">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5.75" x14ac:dyDescent="0.25">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5.75" x14ac:dyDescent="0.25">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5.75" x14ac:dyDescent="0.25">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5.75" x14ac:dyDescent="0.25">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5.75" x14ac:dyDescent="0.25">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5.75" x14ac:dyDescent="0.25">
      <c r="B18" s="173" t="s">
        <v>981</v>
      </c>
      <c r="C18" s="110">
        <f>COUNTIF('capacity data'!E:E,"PO")</f>
        <v>0</v>
      </c>
      <c r="D18" s="110">
        <f>COUNTIFS('capacity data'!E:E,"PO",'capacity data'!F:F,"&gt;110%")</f>
        <v>0</v>
      </c>
      <c r="E18" s="207" t="e">
        <f t="shared" ref="E18" si="4">D18/C18</f>
        <v>#DIV/0!</v>
      </c>
      <c r="F18" s="110" t="s">
        <v>982</v>
      </c>
      <c r="G18" s="64"/>
      <c r="H18" s="173" t="s">
        <v>981</v>
      </c>
      <c r="I18" s="110">
        <f>COUNTIF('capacity data'!E:E,"PSO")</f>
        <v>0</v>
      </c>
      <c r="J18" s="110">
        <f>COUNTIFS('capacity data'!E:E,"PSO",'capacity data'!F:F,"&gt;110%")</f>
        <v>0</v>
      </c>
      <c r="K18" s="207" t="e">
        <f t="shared" ref="K18" si="5">J18/I18</f>
        <v>#DIV/0!</v>
      </c>
      <c r="L18" s="149" t="s">
        <v>982</v>
      </c>
      <c r="O18" s="2"/>
    </row>
    <row r="21" spans="2:15" ht="15.75" x14ac:dyDescent="0.25">
      <c r="B21" s="559" t="s">
        <v>1187</v>
      </c>
      <c r="C21" s="560"/>
      <c r="D21" s="560"/>
      <c r="E21" s="560"/>
      <c r="F21" s="560"/>
      <c r="G21" s="33"/>
      <c r="H21" s="561" t="s">
        <v>1188</v>
      </c>
      <c r="I21" s="562"/>
      <c r="J21" s="562"/>
      <c r="K21" s="562"/>
    </row>
    <row r="22" spans="2:15" ht="51" x14ac:dyDescent="0.25">
      <c r="B22" s="168"/>
      <c r="C22" s="157" t="s">
        <v>1189</v>
      </c>
      <c r="D22" s="157" t="s">
        <v>1190</v>
      </c>
      <c r="E22" s="157" t="s">
        <v>1191</v>
      </c>
      <c r="F22" s="157" t="s">
        <v>1192</v>
      </c>
      <c r="G22" s="170"/>
      <c r="H22" s="168"/>
      <c r="I22" s="157" t="s">
        <v>1183</v>
      </c>
      <c r="J22" s="157" t="s">
        <v>1193</v>
      </c>
      <c r="K22" s="157" t="s">
        <v>1194</v>
      </c>
      <c r="L22" s="34"/>
    </row>
    <row r="23" spans="2:15" x14ac:dyDescent="0.2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2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2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2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2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2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2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2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2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2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2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2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25">
      <c r="B35" s="173" t="s">
        <v>981</v>
      </c>
      <c r="C35" s="110">
        <f>COUNTIF('capacity data'!E:E,"TPO")</f>
        <v>0</v>
      </c>
      <c r="D35" s="110">
        <f>COUNTIFS('capacity data'!E:E,"TPO",'capacity data'!F:F,"&gt;110%")</f>
        <v>0</v>
      </c>
      <c r="E35" s="207" t="e">
        <f t="shared" ref="E35" si="10">D35/C35</f>
        <v>#DIV/0!</v>
      </c>
      <c r="F35" s="110" t="s">
        <v>982</v>
      </c>
      <c r="G35" s="171"/>
      <c r="H35" s="173" t="s">
        <v>981</v>
      </c>
      <c r="I35" s="110">
        <f>COUNTIF('capacity data'!E:E,"PSO")</f>
        <v>0</v>
      </c>
      <c r="J35" s="110">
        <f>COUNTIFS('capacity data'!E:E,"PSO",'capacity data'!F:F,"&lt;90%")</f>
        <v>0</v>
      </c>
      <c r="K35" s="208" t="s">
        <v>982</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sqref="A1:G1"/>
    </sheetView>
  </sheetViews>
  <sheetFormatPr defaultColWidth="8.85546875" defaultRowHeight="15" x14ac:dyDescent="0.25"/>
  <cols>
    <col min="1" max="1" width="4" customWidth="1"/>
    <col min="2" max="2" width="31.42578125" customWidth="1"/>
    <col min="3" max="3" width="13.42578125" style="6" customWidth="1"/>
    <col min="4" max="4" width="20" style="6" customWidth="1"/>
    <col min="5" max="5" width="12.42578125" style="6" customWidth="1"/>
    <col min="6" max="6" width="11.85546875" style="6" customWidth="1"/>
    <col min="7" max="7" width="13.140625" style="6" customWidth="1"/>
  </cols>
  <sheetData>
    <row r="1" spans="1:15" ht="27" customHeight="1" x14ac:dyDescent="0.25">
      <c r="A1" s="536" t="s">
        <v>1195</v>
      </c>
      <c r="B1" s="536"/>
      <c r="C1" s="536"/>
      <c r="D1" s="536"/>
      <c r="E1" s="536"/>
      <c r="F1" s="536"/>
      <c r="G1" s="536"/>
      <c r="H1" s="261"/>
      <c r="I1" s="261"/>
      <c r="J1" s="261"/>
      <c r="K1" s="261"/>
      <c r="L1" s="261"/>
      <c r="M1" s="563"/>
      <c r="N1" s="563"/>
      <c r="O1" s="563"/>
    </row>
    <row r="2" spans="1:15" ht="33.75" customHeight="1" x14ac:dyDescent="0.25">
      <c r="A2" s="430"/>
      <c r="B2" s="430"/>
      <c r="C2" s="430"/>
      <c r="D2" s="430"/>
      <c r="E2" s="430"/>
      <c r="F2" s="430"/>
      <c r="G2" s="430"/>
      <c r="H2" s="268"/>
      <c r="I2" s="268"/>
      <c r="J2" s="268"/>
      <c r="K2" s="268"/>
      <c r="L2" s="268"/>
      <c r="M2" s="268"/>
      <c r="N2" s="268"/>
      <c r="O2" s="268"/>
    </row>
    <row r="3" spans="1:15" s="6" customFormat="1" ht="20.25" customHeight="1" thickBot="1" x14ac:dyDescent="0.3"/>
    <row r="4" spans="1:15" ht="15.75" thickBot="1" x14ac:dyDescent="0.3">
      <c r="B4" s="570" t="s">
        <v>853</v>
      </c>
      <c r="C4" s="566" t="s">
        <v>1070</v>
      </c>
      <c r="D4" s="568" t="s">
        <v>1196</v>
      </c>
      <c r="E4" s="564" t="s">
        <v>1197</v>
      </c>
      <c r="F4" s="565"/>
      <c r="G4" s="571" t="s">
        <v>1198</v>
      </c>
    </row>
    <row r="5" spans="1:15" ht="33.75" customHeight="1" thickBot="1" x14ac:dyDescent="0.3">
      <c r="B5" s="567"/>
      <c r="C5" s="567"/>
      <c r="D5" s="569"/>
      <c r="E5" s="174" t="s">
        <v>1199</v>
      </c>
      <c r="F5" s="175" t="s">
        <v>1200</v>
      </c>
      <c r="G5" s="572"/>
    </row>
    <row r="6" spans="1:15" x14ac:dyDescent="0.2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2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2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2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2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2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2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2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2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2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2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2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75" thickBot="1" x14ac:dyDescent="0.3">
      <c r="B18" s="178" t="s">
        <v>863</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25">
      <c r="C19"/>
      <c r="E19"/>
      <c r="F19"/>
      <c r="G19"/>
    </row>
    <row r="20" spans="1:7" x14ac:dyDescent="0.25">
      <c r="A20" s="31"/>
    </row>
    <row r="21" spans="1:7" x14ac:dyDescent="0.25">
      <c r="A21" s="31"/>
      <c r="C21" s="17"/>
      <c r="D21" s="17"/>
    </row>
    <row r="22" spans="1:7" x14ac:dyDescent="0.25">
      <c r="A22" s="31"/>
    </row>
    <row r="23" spans="1:7" x14ac:dyDescent="0.25">
      <c r="A23" s="31"/>
    </row>
    <row r="24" spans="1:7" x14ac:dyDescent="0.25">
      <c r="A24" s="31"/>
    </row>
    <row r="25" spans="1:7" x14ac:dyDescent="0.25">
      <c r="A25" s="31"/>
    </row>
    <row r="26" spans="1:7" x14ac:dyDescent="0.2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9"/>
  <sheetViews>
    <sheetView showGridLines="0" zoomScale="85" zoomScaleNormal="85" workbookViewId="0">
      <selection sqref="A1:G1"/>
    </sheetView>
  </sheetViews>
  <sheetFormatPr defaultColWidth="8.85546875" defaultRowHeight="15" x14ac:dyDescent="0.25"/>
  <cols>
    <col min="1" max="1" width="3.42578125" customWidth="1"/>
    <col min="2" max="2" width="42.85546875" customWidth="1"/>
    <col min="3" max="3" width="23.85546875" bestFit="1" customWidth="1"/>
    <col min="4" max="4" width="18.85546875" bestFit="1" customWidth="1"/>
    <col min="5" max="5" width="22.42578125" bestFit="1" customWidth="1"/>
    <col min="6" max="6" width="29" bestFit="1" customWidth="1"/>
    <col min="7" max="7" width="19.42578125" customWidth="1"/>
    <col min="8" max="10" width="21.42578125" customWidth="1"/>
    <col min="11" max="11" width="31.42578125" bestFit="1" customWidth="1"/>
    <col min="12" max="12" width="21.42578125" customWidth="1"/>
    <col min="13" max="13" width="24.42578125" bestFit="1" customWidth="1"/>
    <col min="14" max="14" width="28.42578125" bestFit="1" customWidth="1"/>
    <col min="15" max="15" width="10.85546875" bestFit="1" customWidth="1"/>
    <col min="17" max="17" width="9.42578125" bestFit="1" customWidth="1"/>
  </cols>
  <sheetData>
    <row r="1" spans="1:15" ht="51.75" customHeight="1" x14ac:dyDescent="0.25">
      <c r="A1" s="536" t="s">
        <v>1201</v>
      </c>
      <c r="B1" s="536"/>
      <c r="C1" s="536"/>
      <c r="D1" s="536"/>
      <c r="E1" s="536"/>
      <c r="F1" s="536"/>
      <c r="G1" s="536"/>
      <c r="H1" s="536"/>
      <c r="I1" s="536"/>
      <c r="J1" s="536"/>
      <c r="K1" s="536"/>
      <c r="L1" s="536"/>
      <c r="M1" s="536"/>
      <c r="N1" s="536"/>
      <c r="O1" s="260"/>
    </row>
    <row r="2" spans="1:15" ht="24.75" customHeight="1" x14ac:dyDescent="0.25">
      <c r="A2" s="575"/>
      <c r="B2" s="575"/>
      <c r="C2" s="575"/>
      <c r="D2" s="575"/>
      <c r="E2" s="575"/>
      <c r="F2" s="575"/>
      <c r="G2" s="575"/>
      <c r="H2" s="575"/>
      <c r="I2" s="575"/>
      <c r="J2" s="575"/>
      <c r="K2" s="575"/>
      <c r="L2" s="575"/>
      <c r="M2" s="575"/>
      <c r="N2" s="575"/>
      <c r="O2" s="575"/>
    </row>
    <row r="3" spans="1:15" ht="9" customHeight="1" x14ac:dyDescent="0.25">
      <c r="B3" s="18"/>
      <c r="C3" s="18"/>
      <c r="D3" s="19"/>
      <c r="E3" s="19"/>
      <c r="F3" s="19"/>
      <c r="G3" s="19"/>
      <c r="H3" s="19"/>
      <c r="I3" s="19"/>
      <c r="J3" s="19"/>
      <c r="K3" s="19"/>
      <c r="L3" s="19"/>
      <c r="M3" s="19"/>
    </row>
    <row r="4" spans="1:15" x14ac:dyDescent="0.25">
      <c r="B4" s="551" t="s">
        <v>1202</v>
      </c>
      <c r="C4" s="553"/>
      <c r="E4" s="586" t="s">
        <v>1203</v>
      </c>
      <c r="F4" s="587"/>
      <c r="G4" s="587"/>
      <c r="H4" s="582" t="s">
        <v>1204</v>
      </c>
      <c r="I4" s="269"/>
      <c r="J4" s="269"/>
      <c r="K4" s="269"/>
      <c r="L4" s="269"/>
      <c r="M4" s="269"/>
    </row>
    <row r="5" spans="1:15" ht="29.25" customHeight="1" x14ac:dyDescent="0.25">
      <c r="B5" s="578"/>
      <c r="C5" s="579"/>
      <c r="E5" s="578"/>
      <c r="F5" s="588"/>
      <c r="G5" s="588"/>
      <c r="H5" s="582"/>
      <c r="I5" s="269"/>
      <c r="J5" s="269"/>
      <c r="K5" s="269"/>
      <c r="L5" s="269"/>
      <c r="M5" s="269"/>
    </row>
    <row r="6" spans="1:15" x14ac:dyDescent="0.25">
      <c r="B6" s="62" t="str">
        <f>INDEX('reductions workings'!C:C,MATCH(C6,'reductions workings'!E:E,0))</f>
        <v>Long Term Sickness Absence</v>
      </c>
      <c r="C6" s="94">
        <f>LARGE('reductions workings'!E:E,1)</f>
        <v>8.9999999999999998E-4</v>
      </c>
      <c r="E6" s="573" t="str">
        <f>INDEX('reductions workings'!$G:$G,MATCH(G6,'reductions workings'!$H:$H,0))</f>
        <v>Adoption Leave</v>
      </c>
      <c r="F6" s="574"/>
      <c r="G6" s="191">
        <f>LARGE('reductions workings'!H:H,2)</f>
        <v>0</v>
      </c>
      <c r="H6" s="66" t="e">
        <f>G6/'reductions workings'!H61:$I$61</f>
        <v>#DIV/0!</v>
      </c>
      <c r="I6" s="111"/>
      <c r="J6" s="111"/>
      <c r="K6" s="111"/>
      <c r="L6" s="111"/>
      <c r="M6" s="111"/>
    </row>
    <row r="7" spans="1:15" x14ac:dyDescent="0.25">
      <c r="B7" s="62" t="str">
        <f>INDEX('reductions workings'!C:C,MATCH(C7,'reductions workings'!E:E,0))</f>
        <v>Long Term Sickness Absence</v>
      </c>
      <c r="C7" s="94">
        <f>LARGE('reductions workings'!E:E,2)</f>
        <v>8.9999999999999998E-4</v>
      </c>
      <c r="E7" s="573" t="str">
        <f>INDEX('reductions workings'!$G:$G,MATCH(G7,'reductions workings'!$H:$H,0))</f>
        <v>Adoption Leave</v>
      </c>
      <c r="F7" s="574"/>
      <c r="G7" s="191">
        <f>LARGE('reductions workings'!H:H,3)</f>
        <v>0</v>
      </c>
      <c r="H7" s="66" t="e">
        <f>G7/'reductions workings'!H$61:$I61</f>
        <v>#DIV/0!</v>
      </c>
      <c r="I7" s="111"/>
      <c r="J7" s="111"/>
      <c r="K7" s="111"/>
      <c r="L7" s="111"/>
      <c r="M7" s="111"/>
    </row>
    <row r="8" spans="1:15" x14ac:dyDescent="0.25">
      <c r="B8" s="62" t="str">
        <f>INDEX('reductions workings'!C:C,MATCH(C8,'reductions workings'!E:E,0))</f>
        <v>Level 4 and Level 5 Access</v>
      </c>
      <c r="C8" s="94">
        <f>LARGE('reductions workings'!E:E,3)</f>
        <v>8.0000000000000004E-4</v>
      </c>
      <c r="E8" s="573" t="str">
        <f>INDEX('reductions workings'!$G:$G,MATCH(G8,'reductions workings'!$H:$H,0))</f>
        <v>Adoption Leave</v>
      </c>
      <c r="F8" s="574"/>
      <c r="G8" s="191">
        <f>LARGE('reductions workings'!H:H,4)</f>
        <v>0</v>
      </c>
      <c r="H8" s="66" t="e">
        <f>G8/'reductions workings'!H$61:$I61</f>
        <v>#DIV/0!</v>
      </c>
      <c r="I8" s="111"/>
      <c r="J8" s="111"/>
      <c r="K8" s="111"/>
      <c r="L8" s="111"/>
      <c r="M8" s="111"/>
    </row>
    <row r="9" spans="1:15" x14ac:dyDescent="0.25">
      <c r="B9" s="62" t="str">
        <f>INDEX('reductions workings'!C:C,MATCH(C9,'reductions workings'!E:E,0))</f>
        <v>Level 4 and Level 5 Access</v>
      </c>
      <c r="C9" s="94">
        <f>LARGE('reductions workings'!E:E,4)</f>
        <v>8.0000000000000004E-4</v>
      </c>
      <c r="E9" s="573" t="str">
        <f>INDEX('reductions workings'!$G:$G,MATCH(G9,'reductions workings'!$H:$H,0))</f>
        <v>Adoption Leave</v>
      </c>
      <c r="F9" s="574"/>
      <c r="G9" s="191">
        <f>LARGE('reductions workings'!H:H,5)</f>
        <v>0</v>
      </c>
      <c r="H9" s="66" t="e">
        <f>G9/'reductions workings'!H$61:$I61</f>
        <v>#DIV/0!</v>
      </c>
      <c r="I9" s="111"/>
      <c r="J9" s="111"/>
      <c r="K9" s="111"/>
      <c r="L9" s="111"/>
      <c r="M9" s="111"/>
    </row>
    <row r="10" spans="1:15" x14ac:dyDescent="0.25">
      <c r="B10" s="62" t="str">
        <f>INDEX('reductions workings'!C:C,MATCH(C10,'reductions workings'!E:E,0))</f>
        <v>Groups (Induction)</v>
      </c>
      <c r="C10" s="94">
        <f>LARGE('reductions workings'!E:E,5)</f>
        <v>5.9999999999999995E-4</v>
      </c>
      <c r="E10" s="573" t="str">
        <f>INDEX('reductions workings'!$G:$G,MATCH(G10,'reductions workings'!$H:$H,0))</f>
        <v>Adoption Leave</v>
      </c>
      <c r="F10" s="574"/>
      <c r="G10" s="191">
        <f>LARGE('reductions workings'!H:H,6)</f>
        <v>0</v>
      </c>
      <c r="H10" s="66" t="e">
        <f>G10/'reductions workings'!H$61:$I61</f>
        <v>#DIV/0!</v>
      </c>
      <c r="I10" s="111"/>
      <c r="J10" s="111"/>
      <c r="K10" s="111"/>
      <c r="L10" s="111"/>
      <c r="M10" s="111"/>
    </row>
    <row r="11" spans="1:15" x14ac:dyDescent="0.25">
      <c r="B11" s="62" t="str">
        <f>INDEX('reductions workings'!C:C,MATCH(C11,'reductions workings'!E:E,0))</f>
        <v>Groups (Induction)</v>
      </c>
      <c r="C11" s="94">
        <f>LARGE('reductions workings'!E:E,6)</f>
        <v>5.9999999999999995E-4</v>
      </c>
      <c r="E11" s="573" t="str">
        <f>INDEX('reductions workings'!$G:$G,MATCH(G11,'reductions workings'!$H:$H,0))</f>
        <v>Adoption Leave</v>
      </c>
      <c r="F11" s="574"/>
      <c r="G11" s="191">
        <f>LARGE('reductions workings'!H:H,7)</f>
        <v>0</v>
      </c>
      <c r="H11" s="66" t="e">
        <f>G11/'reductions workings'!H$61:$I61</f>
        <v>#DIV/0!</v>
      </c>
      <c r="I11" s="111"/>
      <c r="J11" s="111"/>
      <c r="K11" s="111"/>
      <c r="L11" s="111"/>
      <c r="M11" s="111"/>
    </row>
    <row r="12" spans="1:15" x14ac:dyDescent="0.25">
      <c r="B12" s="62" t="str">
        <f>INDEX('reductions workings'!C:C,MATCH(C12,'reductions workings'!E:E,0))</f>
        <v>Groups (Group supervision)</v>
      </c>
      <c r="C12" s="94">
        <f>LARGE('reductions workings'!E:E,7)</f>
        <v>5.0000000000000001E-4</v>
      </c>
      <c r="E12" s="573" t="str">
        <f>INDEX('reductions workings'!$G:$G,MATCH(G12,'reductions workings'!$H:$H,0))</f>
        <v>Adoption Leave</v>
      </c>
      <c r="F12" s="574"/>
      <c r="G12" s="191">
        <f>LARGE('reductions workings'!H:H,8)</f>
        <v>0</v>
      </c>
      <c r="H12" s="66" t="e">
        <f>G12/'reductions workings'!H$61:$I61</f>
        <v>#DIV/0!</v>
      </c>
      <c r="I12" s="111"/>
      <c r="J12" s="111"/>
      <c r="K12" s="111"/>
      <c r="L12" s="111"/>
      <c r="M12" s="111"/>
    </row>
    <row r="13" spans="1:15" x14ac:dyDescent="0.25">
      <c r="B13" s="62" t="str">
        <f>INDEX('reductions workings'!C:C,MATCH(C13,'reductions workings'!E:E,0))</f>
        <v>Wellbeing/Work-life balance</v>
      </c>
      <c r="C13" s="94">
        <f>LARGE('reductions workings'!E:E,8)</f>
        <v>4.0999999999999999E-4</v>
      </c>
      <c r="E13" s="573" t="str">
        <f>INDEX('reductions workings'!$G:$G,MATCH(G13,'reductions workings'!$H:$H,0))</f>
        <v>Adoption Leave</v>
      </c>
      <c r="F13" s="574"/>
      <c r="G13" s="191">
        <f>LARGE('reductions workings'!H:H,9)</f>
        <v>0</v>
      </c>
      <c r="H13" s="66" t="e">
        <f>G13/'reductions workings'!H$61:$I61</f>
        <v>#DIV/0!</v>
      </c>
      <c r="I13" s="111"/>
      <c r="J13" s="111"/>
      <c r="K13" s="111"/>
      <c r="L13" s="111"/>
      <c r="M13" s="111"/>
    </row>
    <row r="14" spans="1:15" x14ac:dyDescent="0.25">
      <c r="B14" s="62" t="str">
        <f>INDEX('reductions workings'!C:C,MATCH(C14,'reductions workings'!E:E,0))</f>
        <v>Disability</v>
      </c>
      <c r="C14" s="94">
        <f>LARGE('reductions workings'!E:E,9)</f>
        <v>4.0000000000000002E-4</v>
      </c>
      <c r="E14" s="573" t="str">
        <f>INDEX('reductions workings'!$G:$G,MATCH(G14,'reductions workings'!$H:$H,0))</f>
        <v>Adoption Leave</v>
      </c>
      <c r="F14" s="574"/>
      <c r="G14" s="191">
        <f>LARGE('reductions workings'!H:H,10)</f>
        <v>0</v>
      </c>
      <c r="H14" s="66" t="e">
        <f>G14/'reductions workings'!H$61:$I61</f>
        <v>#DIV/0!</v>
      </c>
      <c r="I14" s="111"/>
      <c r="J14" s="111"/>
      <c r="K14" s="111"/>
      <c r="L14" s="111"/>
      <c r="M14" s="111"/>
    </row>
    <row r="15" spans="1:15" x14ac:dyDescent="0.25">
      <c r="B15" s="62" t="str">
        <f>INDEX('reductions workings'!C:C,MATCH(C15,'reductions workings'!E:E,0))</f>
        <v>VQ3</v>
      </c>
      <c r="C15" s="94">
        <f>LARGE('reductions workings'!E:E,10)</f>
        <v>3.8999999999999999E-4</v>
      </c>
      <c r="E15" s="573" t="str">
        <f>INDEX('reductions workings'!$G:$G,MATCH(G15,'reductions workings'!$H:$H,0))</f>
        <v>Adoption Leave</v>
      </c>
      <c r="F15" s="574"/>
      <c r="G15" s="191">
        <f>LARGE('reductions workings'!H:H,11)</f>
        <v>0</v>
      </c>
      <c r="H15" s="66" t="e">
        <f>G15/'reductions workings'!H$61:$I61</f>
        <v>#DIV/0!</v>
      </c>
      <c r="I15" s="111"/>
      <c r="J15" s="111"/>
      <c r="K15" s="111"/>
      <c r="L15" s="111"/>
      <c r="M15" s="111"/>
    </row>
    <row r="16" spans="1:15" x14ac:dyDescent="0.25">
      <c r="B16" s="62" t="str">
        <f>INDEX('reductions workings'!C:C,MATCH(C16,'reductions workings'!E:E,0))</f>
        <v>VQ3</v>
      </c>
      <c r="C16" s="94">
        <f>LARGE('reductions workings'!E:E,11)</f>
        <v>3.8999999999999999E-4</v>
      </c>
      <c r="E16" s="573" t="str">
        <f>INDEX('reductions workings'!$G:$G,MATCH(G16,'reductions workings'!$H:$H,0))</f>
        <v>Adoption Leave</v>
      </c>
      <c r="F16" s="574"/>
      <c r="G16" s="191">
        <f>LARGE('reductions workings'!H:H,12)</f>
        <v>0</v>
      </c>
      <c r="H16" s="66" t="e">
        <f>G16/'reductions workings'!H$61:$I61</f>
        <v>#DIV/0!</v>
      </c>
      <c r="I16" s="111"/>
      <c r="J16" s="111"/>
      <c r="K16" s="111"/>
      <c r="L16" s="111"/>
      <c r="M16" s="111"/>
    </row>
    <row r="17" spans="2:15" x14ac:dyDescent="0.25">
      <c r="B17" s="62" t="str">
        <f>INDEX('reductions workings'!C:C,MATCH(C17,'reductions workings'!E:E,0))</f>
        <v>Trade Union Facility Time</v>
      </c>
      <c r="C17" s="94">
        <f>LARGE('reductions workings'!E:E,12)</f>
        <v>3.8000000000000002E-4</v>
      </c>
      <c r="E17" s="573" t="str">
        <f>INDEX('reductions workings'!$G:$G,MATCH(G17,'reductions workings'!$H:$H,0))</f>
        <v>Adoption Leave</v>
      </c>
      <c r="F17" s="574"/>
      <c r="G17" s="191">
        <f>LARGE('reductions workings'!H:H,13)</f>
        <v>0</v>
      </c>
      <c r="H17" s="66" t="e">
        <f>G17/'reductions workings'!H$61:$I61</f>
        <v>#DIV/0!</v>
      </c>
      <c r="I17" s="111"/>
      <c r="J17" s="111"/>
      <c r="K17" s="111"/>
      <c r="L17" s="111"/>
      <c r="M17" s="111"/>
    </row>
    <row r="18" spans="2:15" x14ac:dyDescent="0.25">
      <c r="B18" s="62" t="str">
        <f>INDEX('reductions workings'!C:C,MATCH(C18,'reductions workings'!E:E,0))</f>
        <v>SPOC Lead</v>
      </c>
      <c r="C18" s="94">
        <f>LARGE('reductions workings'!E:E,13)</f>
        <v>3.6999999999999999E-4</v>
      </c>
      <c r="E18" s="573" t="str">
        <f>INDEX('reductions workings'!$G:$G,MATCH(G18,'reductions workings'!$H:$H,0))</f>
        <v>Adoption Leave</v>
      </c>
      <c r="F18" s="574"/>
      <c r="G18" s="191">
        <f>LARGE('reductions workings'!H:H,14)</f>
        <v>0</v>
      </c>
      <c r="H18" s="66" t="e">
        <f>G18/'reductions workings'!H$61:$I61</f>
        <v>#DIV/0!</v>
      </c>
      <c r="I18" s="111"/>
      <c r="J18" s="111"/>
      <c r="K18" s="111"/>
      <c r="L18" s="111"/>
      <c r="M18" s="111"/>
    </row>
    <row r="19" spans="2:15" x14ac:dyDescent="0.25">
      <c r="B19" s="62" t="str">
        <f>INDEX('reductions workings'!C:C,MATCH(C19,'reductions workings'!E:E,0))</f>
        <v>Split Role</v>
      </c>
      <c r="C19" s="94">
        <f>LARGE('reductions workings'!E:E,14)</f>
        <v>3.6000000000000002E-4</v>
      </c>
      <c r="E19" s="573" t="str">
        <f>INDEX('reductions workings'!$G:$G,MATCH(G19,'reductions workings'!$H:$H,0))</f>
        <v>Adoption Leave</v>
      </c>
      <c r="F19" s="574"/>
      <c r="G19" s="191">
        <f>LARGE('reductions workings'!H:H,15)</f>
        <v>0</v>
      </c>
      <c r="H19" s="66" t="e">
        <f>G19/'reductions workings'!H$61:$I61</f>
        <v>#DIV/0!</v>
      </c>
      <c r="I19" s="111"/>
      <c r="J19" s="111"/>
      <c r="K19" s="111"/>
      <c r="L19" s="111"/>
      <c r="M19" s="111"/>
    </row>
    <row r="20" spans="2:15" x14ac:dyDescent="0.25">
      <c r="B20" s="62" t="str">
        <f>INDEX('reductions workings'!C:C,MATCH(C20,'reductions workings'!E:E,0))</f>
        <v>Special Leave</v>
      </c>
      <c r="C20" s="94">
        <f>LARGE('reductions workings'!E:E,15)</f>
        <v>3.5E-4</v>
      </c>
      <c r="E20" s="573" t="str">
        <f>INDEX('reductions workings'!$G:$G,MATCH(G20,'reductions workings'!$H:$H,0))</f>
        <v>Adoption Leave</v>
      </c>
      <c r="F20" s="574"/>
      <c r="G20" s="191">
        <f>LARGE('reductions workings'!H:H,16)</f>
        <v>0</v>
      </c>
      <c r="H20" s="66" t="e">
        <f>G20/'reductions workings'!H$61:$I61</f>
        <v>#DIV/0!</v>
      </c>
      <c r="I20" s="111"/>
      <c r="J20" s="111"/>
      <c r="K20" s="111"/>
      <c r="L20" s="111"/>
      <c r="M20" s="111"/>
    </row>
    <row r="21" spans="2:15" ht="26.25" x14ac:dyDescent="0.25">
      <c r="B21" s="217" t="s">
        <v>1205</v>
      </c>
      <c r="C21" s="134">
        <f>SUM(C6:C20)</f>
        <v>8.1499999999999993E-3</v>
      </c>
      <c r="E21" s="585" t="s">
        <v>1206</v>
      </c>
      <c r="F21" s="574"/>
      <c r="G21" s="583">
        <f>SUM(G6:G20)</f>
        <v>0</v>
      </c>
      <c r="H21" s="584"/>
      <c r="I21" s="6"/>
      <c r="J21" s="6"/>
      <c r="K21" s="6"/>
      <c r="L21" s="6"/>
      <c r="M21" s="6"/>
    </row>
    <row r="22" spans="2:15" ht="25.5" x14ac:dyDescent="0.25">
      <c r="B22" s="218" t="s">
        <v>1207</v>
      </c>
      <c r="C22" s="135">
        <f>COUNTIF('reductions data'!K:K,"ACTIVE")</f>
        <v>0</v>
      </c>
      <c r="E22" s="580" t="s">
        <v>1208</v>
      </c>
      <c r="F22" s="581"/>
      <c r="G22" s="583">
        <f>LARGE('reductions workings'!H:H,1)</f>
        <v>0</v>
      </c>
      <c r="H22" s="584"/>
      <c r="I22" s="6"/>
      <c r="J22" s="6"/>
      <c r="K22" s="6"/>
      <c r="L22" s="6"/>
      <c r="M22" s="6"/>
    </row>
    <row r="23" spans="2:15" ht="15.75" x14ac:dyDescent="0.25">
      <c r="B23" s="1"/>
      <c r="C23" s="1"/>
    </row>
    <row r="24" spans="2:15" ht="20.25" x14ac:dyDescent="0.3">
      <c r="C24" s="576" t="s">
        <v>1209</v>
      </c>
      <c r="D24" s="577"/>
      <c r="E24" s="577"/>
      <c r="F24" s="577"/>
      <c r="G24" s="577"/>
      <c r="H24" s="577"/>
      <c r="I24" s="577"/>
      <c r="J24" s="577"/>
      <c r="K24" s="577"/>
      <c r="L24" s="577"/>
      <c r="M24" s="577"/>
      <c r="N24" s="577"/>
      <c r="O24" s="577"/>
    </row>
    <row r="25" spans="2:15" ht="40.5" customHeight="1" x14ac:dyDescent="0.25">
      <c r="B25" s="76" t="s">
        <v>904</v>
      </c>
      <c r="C25" s="76" t="s">
        <v>17</v>
      </c>
      <c r="D25" s="76" t="s">
        <v>18</v>
      </c>
      <c r="E25" s="76" t="s">
        <v>19</v>
      </c>
      <c r="F25" s="76" t="s">
        <v>20</v>
      </c>
      <c r="G25" s="76" t="s">
        <v>21</v>
      </c>
      <c r="H25" s="76" t="s">
        <v>22</v>
      </c>
      <c r="I25" s="76" t="s">
        <v>23</v>
      </c>
      <c r="J25" s="76" t="s">
        <v>24</v>
      </c>
      <c r="K25" s="76" t="s">
        <v>25</v>
      </c>
      <c r="L25" s="76" t="s">
        <v>26</v>
      </c>
      <c r="M25" s="76" t="s">
        <v>27</v>
      </c>
      <c r="N25" s="76" t="s">
        <v>28</v>
      </c>
      <c r="O25" s="76" t="s">
        <v>1210</v>
      </c>
    </row>
    <row r="26" spans="2:15" x14ac:dyDescent="0.25">
      <c r="B26" s="112" t="s">
        <v>907</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25">
      <c r="B27" s="113" t="s">
        <v>909</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25">
      <c r="B28" s="113" t="s">
        <v>908</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25">
      <c r="B29" s="113" t="s">
        <v>910</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25">
      <c r="B30" s="113" t="s">
        <v>911</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25">
      <c r="B31" s="113" t="s">
        <v>912</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25">
      <c r="B32" s="113" t="s">
        <v>913</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25">
      <c r="B33" s="113" t="s">
        <v>914</v>
      </c>
      <c r="C33" s="62">
        <f>COUNTIFS('reductions data'!G:G,'reasons for reduction division'!B33,'reductions data'!A:A,$C$25)</f>
        <v>0</v>
      </c>
      <c r="D33" s="62">
        <f>COUNTIFS('reductions data'!G:G,'reasons for reduction division'!B33,'reductions data'!A:A,$D$25)</f>
        <v>0</v>
      </c>
      <c r="E33" s="62">
        <f>COUNTIFS('reductions data'!G:G,'reasons for reduction division'!B33,'reductions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25">
      <c r="B34" s="113" t="s">
        <v>1287</v>
      </c>
      <c r="C34" s="62">
        <f>COUNTIFS('reductions data'!G:G,'reasons for reduction division'!B34,'reductions data'!A:A,$C$25)</f>
        <v>0</v>
      </c>
      <c r="D34" s="62">
        <f>COUNTIFS('reductions data'!G:G,'reasons for reduction division'!B34,'reductions data'!A:A,$D$25)</f>
        <v>0</v>
      </c>
      <c r="E34" s="62">
        <f>COUNTIFS('reductions data'!G:G,'reasons for reduction division'!B34,'reductions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25">
      <c r="B35" s="113" t="s">
        <v>915</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25">
      <c r="B36" s="113" t="s">
        <v>916</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25">
      <c r="B37" s="113" t="s">
        <v>917</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25">
      <c r="B38" s="113" t="s">
        <v>918</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25">
      <c r="B39" s="113" t="s">
        <v>920</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25">
      <c r="B40" s="113" t="s">
        <v>923</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25">
      <c r="B41" s="113" t="s">
        <v>919</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25">
      <c r="B42" s="113" t="s">
        <v>1011</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25">
      <c r="B43" s="113" t="s">
        <v>924</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25">
      <c r="B44" s="113" t="s">
        <v>925</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25">
      <c r="B45" s="113" t="s">
        <v>926</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25">
      <c r="B46" s="113" t="s">
        <v>927</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25">
      <c r="B47" s="113" t="s">
        <v>928</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25">
      <c r="B48" s="113" t="s">
        <v>929</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25">
      <c r="B49" s="113" t="s">
        <v>930</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25">
      <c r="B50" s="113" t="s">
        <v>932</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25">
      <c r="B51" s="113" t="s">
        <v>934</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25">
      <c r="B52" s="113" t="s">
        <v>936</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25">
      <c r="B53" s="113" t="s">
        <v>1280</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25">
      <c r="B54" s="113" t="s">
        <v>1281</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25">
      <c r="B55" s="324" t="s">
        <v>1278</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25">
      <c r="B56" s="324" t="s">
        <v>1279</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25">
      <c r="B57" s="324" t="s">
        <v>1288</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25">
      <c r="B58" s="113" t="s">
        <v>933</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25">
      <c r="B59" s="113" t="s">
        <v>938</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25">
      <c r="B60" s="113" t="s">
        <v>935</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25">
      <c r="B61" s="112" t="s">
        <v>1282</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25">
      <c r="B62" s="113" t="s">
        <v>1283</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25">
      <c r="B63" s="113" t="s">
        <v>939</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25">
      <c r="B64" s="113" t="s">
        <v>940</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25">
      <c r="B65" s="113" t="s">
        <v>941</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25">
      <c r="B66" s="113" t="s">
        <v>942</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25">
      <c r="B67" s="113" t="s">
        <v>943</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25">
      <c r="B68" s="113" t="s">
        <v>944</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25">
      <c r="B69" s="113" t="s">
        <v>931</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25">
      <c r="B70" s="113" t="s">
        <v>945</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25">
      <c r="B71" s="324" t="s">
        <v>1284</v>
      </c>
      <c r="C71" s="330">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25">
      <c r="B72" s="324" t="s">
        <v>1285</v>
      </c>
      <c r="C72" s="330">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25">
      <c r="B73" s="324" t="s">
        <v>1289</v>
      </c>
      <c r="C73" s="330">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25">
      <c r="B74" s="112" t="s">
        <v>946</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25">
      <c r="B75" s="113" t="s">
        <v>947</v>
      </c>
      <c r="C75" s="62">
        <f>COUNTIFS('reductions data'!G:G,'reasons for reduction division'!B75,'reductions data'!A:A,$C$25)</f>
        <v>0</v>
      </c>
      <c r="D75" s="62">
        <f>COUNTIFS('reductions data'!G:G,'reasons for reduction division'!B75,'reductions data'!A:A,$D$25)</f>
        <v>0</v>
      </c>
      <c r="E75" s="62">
        <f>COUNTIFS('reductions data'!G:G,'reasons for reduction division'!B75,'reductions data'!A:A,$E$25)</f>
        <v>0</v>
      </c>
      <c r="F75" s="62">
        <f>COUNTIFS('reductions data'!G:G,'reasons for reduction division'!B75,'reductions data'!A:A,$F$25)</f>
        <v>0</v>
      </c>
      <c r="G75" s="62">
        <f>COUNTIFS('reductions data'!G:G,'reasons for reduction division'!B75,'reductions data'!A:A,$G$25)</f>
        <v>0</v>
      </c>
      <c r="H75" s="62">
        <f>COUNTIFS('reductions data'!G:G,'reasons for reduction division'!B75,'reductions data'!A:A,$H$25)</f>
        <v>0</v>
      </c>
      <c r="I75" s="62">
        <f>COUNTIFS('reductions data'!G:G,'reasons for reduction division'!B75,'reductions data'!A:A,$I$25)</f>
        <v>0</v>
      </c>
      <c r="J75" s="62">
        <f>COUNTIFS('reductions data'!G:G,'reasons for reduction division'!B75,'reductions data'!A:A,$J$25)</f>
        <v>0</v>
      </c>
      <c r="K75" s="62">
        <f>COUNTIFS('reductions data'!G:G,'reasons for reduction division'!B75,'reductions data'!A:A,$K$25)</f>
        <v>0</v>
      </c>
      <c r="L75" s="62">
        <f>COUNTIFS('reductions data'!G:G,'reasons for reduction division'!B75,'reductions data'!A:A,$L$25)</f>
        <v>0</v>
      </c>
      <c r="M75" s="62">
        <f>COUNTIFS('reductions data'!G:G,'reasons for reduction division'!B75,'reductions data'!A:A,$M$25)</f>
        <v>0</v>
      </c>
      <c r="N75" s="62">
        <f>COUNTIFS('reductions data'!G:G,'reasons for reduction division'!B75,'reductions data'!A:A,$N$25)</f>
        <v>0</v>
      </c>
      <c r="O75" s="105">
        <f>COUNTIF('reductions data'!G:G,'reasons for reduction division'!B75)</f>
        <v>0</v>
      </c>
    </row>
    <row r="76" spans="2:15" x14ac:dyDescent="0.25">
      <c r="B76" s="113" t="s">
        <v>948</v>
      </c>
      <c r="C76" s="62">
        <f>COUNTIFS('reductions data'!G:G,'reasons for reduction division'!B76,'reductions data'!A:A,$C$25)</f>
        <v>0</v>
      </c>
      <c r="D76" s="62">
        <f>COUNTIFS('reductions data'!G:G,'reasons for reduction division'!B76,'reductions data'!A:A,$D$25)</f>
        <v>0</v>
      </c>
      <c r="E76" s="62">
        <f>COUNTIFS('reductions data'!G:G,'reasons for reduction division'!B76,'reductions data'!A:A,$E$25)</f>
        <v>0</v>
      </c>
      <c r="F76" s="62">
        <f>COUNTIFS('reductions data'!G:G,'reasons for reduction division'!B76,'reductions data'!A:A,$F$25)</f>
        <v>0</v>
      </c>
      <c r="G76" s="62">
        <f>COUNTIFS('reductions data'!G:G,'reasons for reduction division'!B76,'reductions data'!A:A,$G$25)</f>
        <v>0</v>
      </c>
      <c r="H76" s="62">
        <f>COUNTIFS('reductions data'!G:G,'reasons for reduction division'!B76,'reductions data'!A:A,$H$25)</f>
        <v>0</v>
      </c>
      <c r="I76" s="62">
        <f>COUNTIFS('reductions data'!G:G,'reasons for reduction division'!B76,'reductions data'!A:A,$I$25)</f>
        <v>0</v>
      </c>
      <c r="J76" s="62">
        <f>COUNTIFS('reductions data'!G:G,'reasons for reduction division'!B76,'reductions data'!A:A,$J$25)</f>
        <v>0</v>
      </c>
      <c r="K76" s="62">
        <f>COUNTIFS('reductions data'!G:G,'reasons for reduction division'!B76,'reductions data'!A:A,$K$25)</f>
        <v>0</v>
      </c>
      <c r="L76" s="62">
        <f>COUNTIFS('reductions data'!G:G,'reasons for reduction division'!B76,'reductions data'!A:A,$L$25)</f>
        <v>0</v>
      </c>
      <c r="M76" s="62">
        <f>COUNTIFS('reductions data'!G:G,'reasons for reduction division'!B76,'reductions data'!A:A,$M$25)</f>
        <v>0</v>
      </c>
      <c r="N76" s="62">
        <f>COUNTIFS('reductions data'!G:G,'reasons for reduction division'!B76,'reductions data'!A:A,$N$25)</f>
        <v>0</v>
      </c>
      <c r="O76" s="105">
        <f>COUNTIF('reductions data'!G:G,'reasons for reduction division'!B76)</f>
        <v>0</v>
      </c>
    </row>
    <row r="77" spans="2:15" x14ac:dyDescent="0.25">
      <c r="B77" s="113" t="s">
        <v>949</v>
      </c>
      <c r="C77" s="62">
        <f>COUNTIFS('reductions data'!G:G,'reasons for reduction division'!B77,'reductions data'!A:A,$C$25)</f>
        <v>0</v>
      </c>
      <c r="D77" s="62">
        <f>COUNTIFS('reductions data'!G:G,'reasons for reduction division'!B77,'reductions data'!A:A,$D$25)</f>
        <v>0</v>
      </c>
      <c r="E77" s="62">
        <f>COUNTIFS('reductions data'!G:G,'reasons for reduction division'!B77,'reductions data'!A:A,$E$25)</f>
        <v>0</v>
      </c>
      <c r="F77" s="62">
        <f>COUNTIFS('reductions data'!G:G,'reasons for reduction division'!B77,'reductions data'!A:A,$F$25)</f>
        <v>0</v>
      </c>
      <c r="G77" s="62">
        <f>COUNTIFS('reductions data'!G:G,'reasons for reduction division'!B77,'reductions data'!A:A,$G$25)</f>
        <v>0</v>
      </c>
      <c r="H77" s="62">
        <f>COUNTIFS('reductions data'!G:G,'reasons for reduction division'!B77,'reductions data'!A:A,$H$25)</f>
        <v>0</v>
      </c>
      <c r="I77" s="62">
        <f>COUNTIFS('reductions data'!G:G,'reasons for reduction division'!B77,'reductions data'!A:A,$I$25)</f>
        <v>0</v>
      </c>
      <c r="J77" s="62">
        <f>COUNTIFS('reductions data'!G:G,'reasons for reduction division'!B77,'reductions data'!A:A,$J$25)</f>
        <v>0</v>
      </c>
      <c r="K77" s="62">
        <f>COUNTIFS('reductions data'!G:G,'reasons for reduction division'!B77,'reductions data'!A:A,$K$25)</f>
        <v>0</v>
      </c>
      <c r="L77" s="62">
        <f>COUNTIFS('reductions data'!G:G,'reasons for reduction division'!B77,'reductions data'!A:A,$L$25)</f>
        <v>0</v>
      </c>
      <c r="M77" s="62">
        <f>COUNTIFS('reductions data'!G:G,'reasons for reduction division'!B77,'reductions data'!A:A,$M$25)</f>
        <v>0</v>
      </c>
      <c r="N77" s="62">
        <f>COUNTIFS('reductions data'!G:G,'reasons for reduction division'!B77,'reductions data'!A:A,$N$25)</f>
        <v>0</v>
      </c>
      <c r="O77" s="105">
        <f>COUNTIF('reductions data'!G:G,'reasons for reduction division'!B77)</f>
        <v>0</v>
      </c>
    </row>
    <row r="78" spans="2:15" x14ac:dyDescent="0.25">
      <c r="B78" s="113" t="s">
        <v>950</v>
      </c>
      <c r="C78" s="62">
        <f>COUNTIFS('reductions data'!G:G,'reasons for reduction division'!B78,'reductions data'!A:A,$C$25)</f>
        <v>0</v>
      </c>
      <c r="D78" s="62">
        <f>COUNTIFS('reductions data'!G:G,'reasons for reduction division'!B78,'reductions data'!A:A,$D$25)</f>
        <v>0</v>
      </c>
      <c r="E78" s="62">
        <f>COUNTIFS('reductions data'!G:G,'reasons for reduction division'!B78,'reductions data'!A:A,$E$25)</f>
        <v>0</v>
      </c>
      <c r="F78" s="62">
        <f>COUNTIFS('reductions data'!G:G,'reasons for reduction division'!B78,'reductions data'!A:A,$F$25)</f>
        <v>0</v>
      </c>
      <c r="G78" s="62">
        <f>COUNTIFS('reductions data'!G:G,'reasons for reduction division'!B78,'reductions data'!A:A,$G$25)</f>
        <v>0</v>
      </c>
      <c r="H78" s="62">
        <f>COUNTIFS('reductions data'!G:G,'reasons for reduction division'!B78,'reductions data'!A:A,$H$25)</f>
        <v>0</v>
      </c>
      <c r="I78" s="62">
        <f>COUNTIFS('reductions data'!G:G,'reasons for reduction division'!B78,'reductions data'!A:A,$I$25)</f>
        <v>0</v>
      </c>
      <c r="J78" s="62">
        <f>COUNTIFS('reductions data'!G:G,'reasons for reduction division'!B78,'reductions data'!A:A,$J$25)</f>
        <v>0</v>
      </c>
      <c r="K78" s="62">
        <f>COUNTIFS('reductions data'!G:G,'reasons for reduction division'!B78,'reductions data'!A:A,$K$25)</f>
        <v>0</v>
      </c>
      <c r="L78" s="62">
        <f>COUNTIFS('reductions data'!G:G,'reasons for reduction division'!B78,'reductions data'!A:A,$L$25)</f>
        <v>0</v>
      </c>
      <c r="M78" s="62">
        <f>COUNTIFS('reductions data'!G:G,'reasons for reduction division'!B78,'reductions data'!A:A,$M$25)</f>
        <v>0</v>
      </c>
      <c r="N78" s="62">
        <f>COUNTIFS('reductions data'!G:G,'reasons for reduction division'!B78,'reductions data'!A:A,$N$25)</f>
        <v>0</v>
      </c>
      <c r="O78" s="105">
        <f>COUNTIF('reductions data'!G:G,'reasons for reduction division'!B78)</f>
        <v>0</v>
      </c>
    </row>
    <row r="79" spans="2:15" x14ac:dyDescent="0.25">
      <c r="B79" s="113" t="s">
        <v>951</v>
      </c>
      <c r="C79" s="62">
        <f>COUNTIFS('reductions data'!G:G,'reasons for reduction division'!B79,'reductions data'!A:A,$C$25)</f>
        <v>0</v>
      </c>
      <c r="D79" s="62">
        <f>COUNTIFS('reductions data'!G:G,'reasons for reduction division'!B79,'reductions data'!A:A,$D$25)</f>
        <v>0</v>
      </c>
      <c r="E79" s="62">
        <f>COUNTIFS('reductions data'!G:G,'reasons for reduction division'!B79,'reductions data'!A:A,$E$25)</f>
        <v>0</v>
      </c>
      <c r="F79" s="62">
        <f>COUNTIFS('reductions data'!G:G,'reasons for reduction division'!B79,'reductions data'!A:A,$F$25)</f>
        <v>0</v>
      </c>
      <c r="G79" s="62">
        <f>COUNTIFS('reductions data'!G:G,'reasons for reduction division'!B79,'reductions data'!A:A,$G$25)</f>
        <v>0</v>
      </c>
      <c r="H79" s="62">
        <f>COUNTIFS('reductions data'!G:G,'reasons for reduction division'!B79,'reductions data'!A:A,$H$25)</f>
        <v>0</v>
      </c>
      <c r="I79" s="62">
        <f>COUNTIFS('reductions data'!G:G,'reasons for reduction division'!B79,'reductions data'!A:A,$I$25)</f>
        <v>0</v>
      </c>
      <c r="J79" s="62">
        <f>COUNTIFS('reductions data'!G:G,'reasons for reduction division'!B79,'reductions data'!A:A,$J$25)</f>
        <v>0</v>
      </c>
      <c r="K79" s="62">
        <f>COUNTIFS('reductions data'!G:G,'reasons for reduction division'!B79,'reductions data'!A:A,$K$25)</f>
        <v>0</v>
      </c>
      <c r="L79" s="62">
        <f>COUNTIFS('reductions data'!G:G,'reasons for reduction division'!B79,'reductions data'!A:A,$L$25)</f>
        <v>0</v>
      </c>
      <c r="M79" s="62">
        <f>COUNTIFS('reductions data'!G:G,'reasons for reduction division'!B79,'reductions data'!A:A,$M$25)</f>
        <v>0</v>
      </c>
      <c r="N79" s="62">
        <f>COUNTIFS('reductions data'!G:G,'reasons for reduction division'!B79,'reductions data'!A:A,$N$25)</f>
        <v>0</v>
      </c>
      <c r="O79" s="105">
        <f>COUNTIF('reductions data'!G:G,'reasons for reduction division'!B79)</f>
        <v>0</v>
      </c>
    </row>
    <row r="80" spans="2:15" x14ac:dyDescent="0.25">
      <c r="B80" s="113" t="s">
        <v>952</v>
      </c>
      <c r="C80" s="62">
        <f>COUNTIFS('reductions data'!G:G,'reasons for reduction division'!B80,'reductions data'!A:A,$C$25)</f>
        <v>0</v>
      </c>
      <c r="D80" s="62">
        <f>COUNTIFS('reductions data'!G:G,'reasons for reduction division'!B80,'reductions data'!A:A,$D$25)</f>
        <v>0</v>
      </c>
      <c r="E80" s="62">
        <f>COUNTIFS('reductions data'!G:G,'reasons for reduction division'!B80,'reductions data'!A:A,$E$25)</f>
        <v>0</v>
      </c>
      <c r="F80" s="62">
        <f>COUNTIFS('reductions data'!G:G,'reasons for reduction division'!B80,'reductions data'!A:A,$F$25)</f>
        <v>0</v>
      </c>
      <c r="G80" s="62">
        <f>COUNTIFS('reductions data'!G:G,'reasons for reduction division'!B80,'reductions data'!A:A,$G$25)</f>
        <v>0</v>
      </c>
      <c r="H80" s="62">
        <f>COUNTIFS('reductions data'!G:G,'reasons for reduction division'!B80,'reductions data'!A:A,$H$25)</f>
        <v>0</v>
      </c>
      <c r="I80" s="62">
        <f>COUNTIFS('reductions data'!G:G,'reasons for reduction division'!B80,'reductions data'!A:A,$I$25)</f>
        <v>0</v>
      </c>
      <c r="J80" s="62">
        <f>COUNTIFS('reductions data'!G:G,'reasons for reduction division'!B80,'reductions data'!A:A,$J$25)</f>
        <v>0</v>
      </c>
      <c r="K80" s="62">
        <f>COUNTIFS('reductions data'!G:G,'reasons for reduction division'!B80,'reductions data'!A:A,$K$25)</f>
        <v>0</v>
      </c>
      <c r="L80" s="62">
        <f>COUNTIFS('reductions data'!G:G,'reasons for reduction division'!B80,'reductions data'!A:A,$L$25)</f>
        <v>0</v>
      </c>
      <c r="M80" s="62">
        <f>COUNTIFS('reductions data'!G:G,'reasons for reduction division'!B80,'reductions data'!A:A,$M$25)</f>
        <v>0</v>
      </c>
      <c r="N80" s="62">
        <f>COUNTIFS('reductions data'!G:G,'reasons for reduction division'!B80,'reductions data'!A:A,$N$25)</f>
        <v>0</v>
      </c>
      <c r="O80" s="105">
        <f>COUNTIF('reductions data'!G:G,'reasons for reduction division'!B80)</f>
        <v>0</v>
      </c>
    </row>
    <row r="81" spans="2:15" x14ac:dyDescent="0.25">
      <c r="B81" s="181" t="s">
        <v>981</v>
      </c>
      <c r="C81" s="182">
        <f>COUNTIF('reductions data'!A:A,$C$25)</f>
        <v>0</v>
      </c>
      <c r="D81" s="182">
        <f>COUNTIF('reductions data'!A:A,$D$25)</f>
        <v>0</v>
      </c>
      <c r="E81" s="182">
        <f>COUNTIF('reductions data'!A:A,$E$25)</f>
        <v>0</v>
      </c>
      <c r="F81" s="182">
        <f>COUNTIF('reductions data'!A:A,$F$25)</f>
        <v>0</v>
      </c>
      <c r="G81" s="182">
        <f>COUNTIF('reductions data'!A:A,$G$25)</f>
        <v>0</v>
      </c>
      <c r="H81" s="182">
        <f>COUNTIF('reductions data'!A:A,$H$25)</f>
        <v>0</v>
      </c>
      <c r="I81" s="182">
        <f>COUNTIF('reductions data'!A:A,$I$25)</f>
        <v>0</v>
      </c>
      <c r="J81" s="182">
        <f>COUNTIF('reductions data'!A:A,$J$25)</f>
        <v>0</v>
      </c>
      <c r="K81" s="182">
        <f>COUNTIF('reductions data'!A:A,$K$25)</f>
        <v>0</v>
      </c>
      <c r="L81" s="182">
        <f>COUNTIF('reductions data'!A:A,$L$25)</f>
        <v>0</v>
      </c>
      <c r="M81" s="182">
        <f>COUNTIF('reductions data'!A:A,$M$25)</f>
        <v>0</v>
      </c>
      <c r="N81" s="182">
        <f>COUNTIF('reductions data'!$A:$A,N$25)</f>
        <v>0</v>
      </c>
      <c r="O81" s="105">
        <f>COUNTIF('reductions data'!K:K,"ACTIVE")</f>
        <v>0</v>
      </c>
    </row>
    <row r="82" spans="2:15" x14ac:dyDescent="0.25">
      <c r="B82" s="331"/>
    </row>
    <row r="84" spans="2:15" ht="20.25" x14ac:dyDescent="0.3">
      <c r="C84" s="576" t="s">
        <v>1211</v>
      </c>
      <c r="D84" s="576"/>
      <c r="E84" s="576"/>
      <c r="F84" s="576"/>
      <c r="G84" s="576"/>
      <c r="H84" s="576"/>
      <c r="I84" s="576"/>
      <c r="J84" s="576"/>
      <c r="K84" s="576"/>
      <c r="L84" s="576"/>
      <c r="M84" s="576"/>
      <c r="N84" s="576"/>
      <c r="O84" s="576"/>
    </row>
    <row r="85" spans="2:15" ht="34.5" customHeight="1" x14ac:dyDescent="0.25">
      <c r="B85" s="76" t="s">
        <v>904</v>
      </c>
      <c r="C85" s="76" t="s">
        <v>17</v>
      </c>
      <c r="D85" s="76" t="s">
        <v>18</v>
      </c>
      <c r="E85" s="76" t="s">
        <v>19</v>
      </c>
      <c r="F85" s="76" t="s">
        <v>20</v>
      </c>
      <c r="G85" s="76" t="s">
        <v>21</v>
      </c>
      <c r="H85" s="76" t="s">
        <v>22</v>
      </c>
      <c r="I85" s="76" t="s">
        <v>23</v>
      </c>
      <c r="J85" s="76" t="s">
        <v>24</v>
      </c>
      <c r="K85" s="76" t="s">
        <v>25</v>
      </c>
      <c r="L85" s="76" t="s">
        <v>26</v>
      </c>
      <c r="M85" s="76" t="s">
        <v>27</v>
      </c>
      <c r="N85" s="76" t="s">
        <v>28</v>
      </c>
      <c r="O85" s="76" t="s">
        <v>1210</v>
      </c>
    </row>
    <row r="86" spans="2:15" x14ac:dyDescent="0.25">
      <c r="B86" s="112" t="s">
        <v>907</v>
      </c>
      <c r="C86" s="62">
        <f>SUMIFS('reductions data'!H:H,'reductions data'!G:G,'reasons for reduction division'!B86,'reductions data'!A:A,$C$85)</f>
        <v>0</v>
      </c>
      <c r="D86" s="62">
        <f>SUMIFS('reductions data'!H:H,'reductions data'!G:G,'reasons for reduction division'!B86,'reductions data'!A:A,$D$85)</f>
        <v>0</v>
      </c>
      <c r="E86" s="62">
        <f>SUMIFS('reductions data'!H:H,'reductions data'!G:G,'reasons for reduction division'!B86,'reductions data'!A:A,$E$85)</f>
        <v>0</v>
      </c>
      <c r="F86" s="62">
        <f>SUMIFS('reductions data'!H:H,'reductions data'!G:G,'reasons for reduction division'!B86,'reductions data'!A:A,$F$85)</f>
        <v>0</v>
      </c>
      <c r="G86" s="62">
        <f>SUMIFS('reductions data'!H:H,'reductions data'!G:G,'reasons for reduction division'!B86,'reductions data'!A:A,$G$85)</f>
        <v>0</v>
      </c>
      <c r="H86" s="62">
        <f>SUMIFS('reductions data'!H:H,'reductions data'!G:G,'reasons for reduction division'!B86,'reductions data'!A:A,$H$85)</f>
        <v>0</v>
      </c>
      <c r="I86" s="62">
        <f>SUMIFS('reductions data'!H:H,'reductions data'!G:G,'reasons for reduction division'!B86,'reductions data'!A:A,$I$85)</f>
        <v>0</v>
      </c>
      <c r="J86" s="62">
        <f>SUMIFS('reductions data'!H:H,'reductions data'!G:G,'reasons for reduction division'!B86,'reductions data'!A:A,$J$85)</f>
        <v>0</v>
      </c>
      <c r="K86" s="62">
        <f>SUMIFS('reductions data'!H:H,'reductions data'!G:G,'reasons for reduction division'!B86,'reductions data'!A:A,$K$85)</f>
        <v>0</v>
      </c>
      <c r="L86" s="62">
        <f>SUMIFS('reductions data'!H:H,'reductions data'!G:G,'reasons for reduction division'!B86,'reductions data'!A:A,$L$85)</f>
        <v>0</v>
      </c>
      <c r="M86" s="62">
        <f>SUMIFS('reductions data'!H:H,'reductions data'!G:G,'reasons for reduction division'!B86,'reductions data'!A:A,$M$85)</f>
        <v>0</v>
      </c>
      <c r="N86" s="62">
        <f>SUMIFS('reductions data'!H:H,'reductions data'!G:G,'reasons for reduction division'!B86,'reductions data'!A:A,$N$85)</f>
        <v>0</v>
      </c>
      <c r="O86" s="105">
        <f>SUMIF('reductions data'!G:G,'reasons for reduction division'!B86,'reductions data'!H:H)</f>
        <v>0</v>
      </c>
    </row>
    <row r="87" spans="2:15" x14ac:dyDescent="0.25">
      <c r="B87" s="113" t="s">
        <v>909</v>
      </c>
      <c r="C87" s="62">
        <f>SUMIFS('reductions data'!H:H,'reductions data'!G:G,'reasons for reduction division'!B87,'reductions data'!A:A,$C$85)</f>
        <v>0</v>
      </c>
      <c r="D87" s="62">
        <f>SUMIFS('reductions data'!H:H,'reductions data'!G:G,'reasons for reduction division'!B87,'reductions data'!A:A,$D$85)</f>
        <v>0</v>
      </c>
      <c r="E87" s="62">
        <f>SUMIFS('reductions data'!H:H,'reductions data'!G:G,'reasons for reduction division'!B87,'reductions data'!A:A,$E$85)</f>
        <v>0</v>
      </c>
      <c r="F87" s="62">
        <f>SUMIFS('reductions data'!H:H,'reductions data'!G:G,'reasons for reduction division'!B87,'reductions data'!A:A,$F$85)</f>
        <v>0</v>
      </c>
      <c r="G87" s="62">
        <f>SUMIFS('reductions data'!H:H,'reductions data'!G:G,'reasons for reduction division'!B87,'reductions data'!A:A,$G$85)</f>
        <v>0</v>
      </c>
      <c r="H87" s="62">
        <f>SUMIFS('reductions data'!H:H,'reductions data'!G:G,'reasons for reduction division'!B87,'reductions data'!A:A,$H$85)</f>
        <v>0</v>
      </c>
      <c r="I87" s="62">
        <f>SUMIFS('reductions data'!H:H,'reductions data'!G:G,'reasons for reduction division'!B87,'reductions data'!A:A,$I$85)</f>
        <v>0</v>
      </c>
      <c r="J87" s="62">
        <f>SUMIFS('reductions data'!H:H,'reductions data'!G:G,'reasons for reduction division'!B87,'reductions data'!A:A,$J$85)</f>
        <v>0</v>
      </c>
      <c r="K87" s="62">
        <f>SUMIFS('reductions data'!H:H,'reductions data'!G:G,'reasons for reduction division'!B87,'reductions data'!A:A,$K$85)</f>
        <v>0</v>
      </c>
      <c r="L87" s="62">
        <f>SUMIFS('reductions data'!H:H,'reductions data'!G:G,'reasons for reduction division'!B87,'reductions data'!A:A,$L$85)</f>
        <v>0</v>
      </c>
      <c r="M87" s="62">
        <f>SUMIFS('reductions data'!H:H,'reductions data'!G:G,'reasons for reduction division'!B87,'reductions data'!A:A,$M$85)</f>
        <v>0</v>
      </c>
      <c r="N87" s="62">
        <f>SUMIFS('reductions data'!H:H,'reductions data'!G:G,'reasons for reduction division'!B87,'reductions data'!A:A,$N$85)</f>
        <v>0</v>
      </c>
      <c r="O87" s="105">
        <f>SUMIF('reductions data'!G:G,'reasons for reduction division'!B87,'reductions data'!H:H)</f>
        <v>0</v>
      </c>
    </row>
    <row r="88" spans="2:15" x14ac:dyDescent="0.25">
      <c r="B88" s="113" t="s">
        <v>908</v>
      </c>
      <c r="C88" s="62">
        <f>SUMIFS('reductions data'!H:H,'reductions data'!G:G,'reasons for reduction division'!B88,'reductions data'!A:A,$C$85)</f>
        <v>0</v>
      </c>
      <c r="D88" s="62">
        <f>SUMIFS('reductions data'!H:H,'reductions data'!G:G,'reasons for reduction division'!B88,'reductions data'!A:A,$D$85)</f>
        <v>0</v>
      </c>
      <c r="E88" s="62">
        <f>SUMIFS('reductions data'!H:H,'reductions data'!G:G,'reasons for reduction division'!B88,'reductions data'!A:A,$E$85)</f>
        <v>0</v>
      </c>
      <c r="F88" s="62">
        <f>SUMIFS('reductions data'!H:H,'reductions data'!G:G,'reasons for reduction division'!B88,'reductions data'!A:A,$F$85)</f>
        <v>0</v>
      </c>
      <c r="G88" s="62">
        <f>SUMIFS('reductions data'!H:H,'reductions data'!G:G,'reasons for reduction division'!B88,'reductions data'!A:A,$G$85)</f>
        <v>0</v>
      </c>
      <c r="H88" s="62">
        <f>SUMIFS('reductions data'!H:H,'reductions data'!G:G,'reasons for reduction division'!B88,'reductions data'!A:A,$H$85)</f>
        <v>0</v>
      </c>
      <c r="I88" s="62">
        <f>SUMIFS('reductions data'!H:H,'reductions data'!G:G,'reasons for reduction division'!B88,'reductions data'!A:A,$I$85)</f>
        <v>0</v>
      </c>
      <c r="J88" s="62">
        <f>SUMIFS('reductions data'!H:H,'reductions data'!G:G,'reasons for reduction division'!B88,'reductions data'!A:A,$J$85)</f>
        <v>0</v>
      </c>
      <c r="K88" s="62">
        <f>SUMIFS('reductions data'!H:H,'reductions data'!G:G,'reasons for reduction division'!B88,'reductions data'!A:A,$K$85)</f>
        <v>0</v>
      </c>
      <c r="L88" s="62">
        <f>SUMIFS('reductions data'!H:H,'reductions data'!G:G,'reasons for reduction division'!B88,'reductions data'!A:A,$L$85)</f>
        <v>0</v>
      </c>
      <c r="M88" s="62">
        <f>SUMIFS('reductions data'!H:H,'reductions data'!G:G,'reasons for reduction division'!B88,'reductions data'!A:A,$M$85)</f>
        <v>0</v>
      </c>
      <c r="N88" s="62">
        <f>SUMIFS('reductions data'!H:H,'reductions data'!G:G,'reasons for reduction division'!B88,'reductions data'!A:A,$N$85)</f>
        <v>0</v>
      </c>
      <c r="O88" s="105">
        <f>SUMIF('reductions data'!G:G,'reasons for reduction division'!B88,'reductions data'!H:H)</f>
        <v>0</v>
      </c>
    </row>
    <row r="89" spans="2:15" x14ac:dyDescent="0.25">
      <c r="B89" s="113" t="s">
        <v>910</v>
      </c>
      <c r="C89" s="62">
        <f>SUMIFS('reductions data'!H:H,'reductions data'!G:G,'reasons for reduction division'!B89,'reductions data'!A:A,$C$85)</f>
        <v>0</v>
      </c>
      <c r="D89" s="62">
        <f>SUMIFS('reductions data'!H:H,'reductions data'!G:G,'reasons for reduction division'!B89,'reductions data'!A:A,$D$85)</f>
        <v>0</v>
      </c>
      <c r="E89" s="62">
        <f>SUMIFS('reductions data'!H:H,'reductions data'!G:G,'reasons for reduction division'!B89,'reductions data'!A:A,$E$85)</f>
        <v>0</v>
      </c>
      <c r="F89" s="62">
        <f>SUMIFS('reductions data'!H:H,'reductions data'!G:G,'reasons for reduction division'!B89,'reductions data'!A:A,$F$85)</f>
        <v>0</v>
      </c>
      <c r="G89" s="62">
        <f>SUMIFS('reductions data'!H:H,'reductions data'!G:G,'reasons for reduction division'!B89,'reductions data'!A:A,$G$85)</f>
        <v>0</v>
      </c>
      <c r="H89" s="62">
        <f>SUMIFS('reductions data'!H:H,'reductions data'!G:G,'reasons for reduction division'!B89,'reductions data'!A:A,$H$85)</f>
        <v>0</v>
      </c>
      <c r="I89" s="62">
        <f>SUMIFS('reductions data'!H:H,'reductions data'!G:G,'reasons for reduction division'!B89,'reductions data'!A:A,$I$85)</f>
        <v>0</v>
      </c>
      <c r="J89" s="62">
        <f>SUMIFS('reductions data'!H:H,'reductions data'!G:G,'reasons for reduction division'!B89,'reductions data'!A:A,$J$85)</f>
        <v>0</v>
      </c>
      <c r="K89" s="62">
        <f>SUMIFS('reductions data'!H:H,'reductions data'!G:G,'reasons for reduction division'!B89,'reductions data'!A:A,$K$85)</f>
        <v>0</v>
      </c>
      <c r="L89" s="62">
        <f>SUMIFS('reductions data'!H:H,'reductions data'!G:G,'reasons for reduction division'!B89,'reductions data'!A:A,$L$85)</f>
        <v>0</v>
      </c>
      <c r="M89" s="62">
        <f>SUMIFS('reductions data'!H:H,'reductions data'!G:G,'reasons for reduction division'!B89,'reductions data'!A:A,$M$85)</f>
        <v>0</v>
      </c>
      <c r="N89" s="62">
        <f>SUMIFS('reductions data'!H:H,'reductions data'!G:G,'reasons for reduction division'!B89,'reductions data'!A:A,$N$85)</f>
        <v>0</v>
      </c>
      <c r="O89" s="105">
        <f>SUMIF('reductions data'!G:G,'reasons for reduction division'!B89,'reductions data'!H:H)</f>
        <v>0</v>
      </c>
    </row>
    <row r="90" spans="2:15" x14ac:dyDescent="0.25">
      <c r="B90" s="113" t="s">
        <v>911</v>
      </c>
      <c r="C90" s="62">
        <f>SUMIFS('reductions data'!H:H,'reductions data'!G:G,'reasons for reduction division'!B90,'reductions data'!A:A,$C$85)</f>
        <v>0</v>
      </c>
      <c r="D90" s="62">
        <f>SUMIFS('reductions data'!H:H,'reductions data'!G:G,'reasons for reduction division'!B90,'reductions data'!A:A,$D$85)</f>
        <v>0</v>
      </c>
      <c r="E90" s="62">
        <f>SUMIFS('reductions data'!H:H,'reductions data'!G:G,'reasons for reduction division'!B90,'reductions data'!A:A,$E$85)</f>
        <v>0</v>
      </c>
      <c r="F90" s="62">
        <f>SUMIFS('reductions data'!H:H,'reductions data'!G:G,'reasons for reduction division'!B90,'reductions data'!A:A,$F$85)</f>
        <v>0</v>
      </c>
      <c r="G90" s="62">
        <f>SUMIFS('reductions data'!H:H,'reductions data'!G:G,'reasons for reduction division'!B90,'reductions data'!A:A,$G$85)</f>
        <v>0</v>
      </c>
      <c r="H90" s="62">
        <f>SUMIFS('reductions data'!H:H,'reductions data'!G:G,'reasons for reduction division'!B90,'reductions data'!A:A,$H$85)</f>
        <v>0</v>
      </c>
      <c r="I90" s="62">
        <f>SUMIFS('reductions data'!H:H,'reductions data'!G:G,'reasons for reduction division'!B90,'reductions data'!A:A,$I$85)</f>
        <v>0</v>
      </c>
      <c r="J90" s="62">
        <f>SUMIFS('reductions data'!H:H,'reductions data'!G:G,'reasons for reduction division'!B90,'reductions data'!A:A,$J$85)</f>
        <v>0</v>
      </c>
      <c r="K90" s="62">
        <f>SUMIFS('reductions data'!H:H,'reductions data'!G:G,'reasons for reduction division'!B90,'reductions data'!A:A,$K$85)</f>
        <v>0</v>
      </c>
      <c r="L90" s="62">
        <f>SUMIFS('reductions data'!H:H,'reductions data'!G:G,'reasons for reduction division'!B90,'reductions data'!A:A,$L$85)</f>
        <v>0</v>
      </c>
      <c r="M90" s="62">
        <f>SUMIFS('reductions data'!H:H,'reductions data'!G:G,'reasons for reduction division'!B90,'reductions data'!A:A,$M$85)</f>
        <v>0</v>
      </c>
      <c r="N90" s="62">
        <f>SUMIFS('reductions data'!H:H,'reductions data'!G:G,'reasons for reduction division'!B90,'reductions data'!A:A,$N$85)</f>
        <v>0</v>
      </c>
      <c r="O90" s="105">
        <f>SUMIF('reductions data'!G:G,'reasons for reduction division'!B90,'reductions data'!H:H)</f>
        <v>0</v>
      </c>
    </row>
    <row r="91" spans="2:15" x14ac:dyDescent="0.25">
      <c r="B91" s="113" t="s">
        <v>912</v>
      </c>
      <c r="C91" s="62">
        <f>SUMIFS('reductions data'!H:H,'reductions data'!G:G,'reasons for reduction division'!B91,'reductions data'!A:A,$C$85)</f>
        <v>0</v>
      </c>
      <c r="D91" s="62">
        <f>SUMIFS('reductions data'!H:H,'reductions data'!G:G,'reasons for reduction division'!B91,'reductions data'!A:A,$D$85)</f>
        <v>0</v>
      </c>
      <c r="E91" s="62">
        <f>SUMIFS('reductions data'!H:H,'reductions data'!G:G,'reasons for reduction division'!B91,'reductions data'!A:A,$E$85)</f>
        <v>0</v>
      </c>
      <c r="F91" s="62">
        <f>SUMIFS('reductions data'!H:H,'reductions data'!G:G,'reasons for reduction division'!B91,'reductions data'!A:A,$F$85)</f>
        <v>0</v>
      </c>
      <c r="G91" s="62">
        <f>SUMIFS('reductions data'!H:H,'reductions data'!G:G,'reasons for reduction division'!B91,'reductions data'!A:A,$G$85)</f>
        <v>0</v>
      </c>
      <c r="H91" s="62">
        <f>SUMIFS('reductions data'!H:H,'reductions data'!G:G,'reasons for reduction division'!B91,'reductions data'!A:A,$H$85)</f>
        <v>0</v>
      </c>
      <c r="I91" s="62">
        <f>SUMIFS('reductions data'!H:H,'reductions data'!G:G,'reasons for reduction division'!B91,'reductions data'!A:A,$I$85)</f>
        <v>0</v>
      </c>
      <c r="J91" s="62">
        <f>SUMIFS('reductions data'!H:H,'reductions data'!G:G,'reasons for reduction division'!B91,'reductions data'!A:A,$J$85)</f>
        <v>0</v>
      </c>
      <c r="K91" s="62">
        <f>SUMIFS('reductions data'!H:H,'reductions data'!G:G,'reasons for reduction division'!B91,'reductions data'!A:A,$K$85)</f>
        <v>0</v>
      </c>
      <c r="L91" s="62">
        <f>SUMIFS('reductions data'!H:H,'reductions data'!G:G,'reasons for reduction division'!B91,'reductions data'!A:A,$L$85)</f>
        <v>0</v>
      </c>
      <c r="M91" s="62">
        <f>SUMIFS('reductions data'!H:H,'reductions data'!G:G,'reasons for reduction division'!B91,'reductions data'!A:A,$M$85)</f>
        <v>0</v>
      </c>
      <c r="N91" s="62">
        <f>SUMIFS('reductions data'!H:H,'reductions data'!G:G,'reasons for reduction division'!B91,'reductions data'!A:A,$N$85)</f>
        <v>0</v>
      </c>
      <c r="O91" s="105">
        <f>SUMIF('reductions data'!G:G,'reasons for reduction division'!B91,'reductions data'!H:H)</f>
        <v>0</v>
      </c>
    </row>
    <row r="92" spans="2:15" x14ac:dyDescent="0.25">
      <c r="B92" s="113" t="s">
        <v>913</v>
      </c>
      <c r="C92" s="62">
        <f>SUMIFS('reductions data'!H:H,'reductions data'!G:G,'reasons for reduction division'!B92,'reductions data'!A:A,$C$85)</f>
        <v>0</v>
      </c>
      <c r="D92" s="62">
        <f>SUMIFS('reductions data'!H:H,'reductions data'!G:G,'reasons for reduction division'!B92,'reductions data'!A:A,$D$85)</f>
        <v>0</v>
      </c>
      <c r="E92" s="62">
        <f>SUMIFS('reductions data'!H:H,'reductions data'!G:G,'reasons for reduction division'!B92,'reductions data'!A:A,$E$85)</f>
        <v>0</v>
      </c>
      <c r="F92" s="62">
        <f>SUMIFS('reductions data'!H:H,'reductions data'!G:G,'reasons for reduction division'!B92,'reductions data'!A:A,$F$85)</f>
        <v>0</v>
      </c>
      <c r="G92" s="62">
        <f>SUMIFS('reductions data'!H:H,'reductions data'!G:G,'reasons for reduction division'!B92,'reductions data'!A:A,$G$85)</f>
        <v>0</v>
      </c>
      <c r="H92" s="62">
        <f>SUMIFS('reductions data'!H:H,'reductions data'!G:G,'reasons for reduction division'!B92,'reductions data'!A:A,$H$85)</f>
        <v>0</v>
      </c>
      <c r="I92" s="62">
        <f>SUMIFS('reductions data'!H:H,'reductions data'!G:G,'reasons for reduction division'!B92,'reductions data'!A:A,$I$85)</f>
        <v>0</v>
      </c>
      <c r="J92" s="62">
        <f>SUMIFS('reductions data'!H:H,'reductions data'!G:G,'reasons for reduction division'!B92,'reductions data'!A:A,$J$85)</f>
        <v>0</v>
      </c>
      <c r="K92" s="62">
        <f>SUMIFS('reductions data'!H:H,'reductions data'!G:G,'reasons for reduction division'!B92,'reductions data'!A:A,$K$85)</f>
        <v>0</v>
      </c>
      <c r="L92" s="62">
        <f>SUMIFS('reductions data'!H:H,'reductions data'!G:G,'reasons for reduction division'!B92,'reductions data'!A:A,$L$85)</f>
        <v>0</v>
      </c>
      <c r="M92" s="62">
        <f>SUMIFS('reductions data'!H:H,'reductions data'!G:G,'reasons for reduction division'!B92,'reductions data'!A:A,$M$85)</f>
        <v>0</v>
      </c>
      <c r="N92" s="62">
        <f>SUMIFS('reductions data'!H:H,'reductions data'!G:G,'reasons for reduction division'!B92,'reductions data'!A:A,$N$85)</f>
        <v>0</v>
      </c>
      <c r="O92" s="105">
        <f>SUMIF('reductions data'!G:G,'reasons for reduction division'!B92,'reductions data'!H:H)</f>
        <v>0</v>
      </c>
    </row>
    <row r="93" spans="2:15" x14ac:dyDescent="0.25">
      <c r="B93" s="113" t="s">
        <v>914</v>
      </c>
      <c r="C93" s="62">
        <f>SUMIFS('reductions data'!H:H,'reductions data'!G:G,'reasons for reduction division'!B93,'reductions data'!A:A,$C$85)</f>
        <v>0</v>
      </c>
      <c r="D93" s="62">
        <f>SUMIFS('reductions data'!H:H,'reductions data'!G:G,'reasons for reduction division'!B93,'reductions data'!A:A,$D$85)</f>
        <v>0</v>
      </c>
      <c r="E93" s="62">
        <f>SUMIFS('reductions data'!H:H,'reductions data'!G:G,'reasons for reduction division'!B93,'reductions data'!A:A,$E$85)</f>
        <v>0</v>
      </c>
      <c r="F93" s="62">
        <f>SUMIFS('reductions data'!H:H,'reductions data'!G:G,'reasons for reduction division'!B93,'reductions data'!A:A,$F$85)</f>
        <v>0</v>
      </c>
      <c r="G93" s="62">
        <f>SUMIFS('reductions data'!H:H,'reductions data'!G:G,'reasons for reduction division'!B93,'reductions data'!A:A,$G$85)</f>
        <v>0</v>
      </c>
      <c r="H93" s="62">
        <f>SUMIFS('reductions data'!H:H,'reductions data'!G:G,'reasons for reduction division'!B93,'reductions data'!A:A,$H$85)</f>
        <v>0</v>
      </c>
      <c r="I93" s="62">
        <f>SUMIFS('reductions data'!H:H,'reductions data'!G:G,'reasons for reduction division'!B93,'reductions data'!A:A,$I$85)</f>
        <v>0</v>
      </c>
      <c r="J93" s="62">
        <f>SUMIFS('reductions data'!H:H,'reductions data'!G:G,'reasons for reduction division'!B93,'reductions data'!A:A,$J$85)</f>
        <v>0</v>
      </c>
      <c r="K93" s="62">
        <f>SUMIFS('reductions data'!H:H,'reductions data'!G:G,'reasons for reduction division'!B93,'reductions data'!A:A,$K$85)</f>
        <v>0</v>
      </c>
      <c r="L93" s="62">
        <f>SUMIFS('reductions data'!H:H,'reductions data'!G:G,'reasons for reduction division'!B93,'reductions data'!A:A,$L$85)</f>
        <v>0</v>
      </c>
      <c r="M93" s="62">
        <f>SUMIFS('reductions data'!H:H,'reductions data'!G:G,'reasons for reduction division'!B93,'reductions data'!A:A,$M$85)</f>
        <v>0</v>
      </c>
      <c r="N93" s="62">
        <f>SUMIFS('reductions data'!H:H,'reductions data'!G:G,'reasons for reduction division'!B93,'reductions data'!A:A,$N$85)</f>
        <v>0</v>
      </c>
      <c r="O93" s="105">
        <f>SUMIF('reductions data'!G:G,'reasons for reduction division'!B93,'reductions data'!H:H)</f>
        <v>0</v>
      </c>
    </row>
    <row r="94" spans="2:15" x14ac:dyDescent="0.25">
      <c r="B94" s="113" t="s">
        <v>915</v>
      </c>
      <c r="C94" s="62">
        <f>SUMIFS('reductions data'!H:H,'reductions data'!G:G,'reasons for reduction division'!B94,'reductions data'!A:A,$C$85)</f>
        <v>0</v>
      </c>
      <c r="D94" s="62">
        <f>SUMIFS('reductions data'!H:H,'reductions data'!G:G,'reasons for reduction division'!B94,'reductions data'!A:A,$D$85)</f>
        <v>0</v>
      </c>
      <c r="E94" s="62">
        <f>SUMIFS('reductions data'!H:H,'reductions data'!G:G,'reasons for reduction division'!B94,'reductions data'!A:A,$E$85)</f>
        <v>0</v>
      </c>
      <c r="F94" s="62">
        <f>SUMIFS('reductions data'!H:H,'reductions data'!G:G,'reasons for reduction division'!B94,'reductions data'!A:A,$F$85)</f>
        <v>0</v>
      </c>
      <c r="G94" s="62">
        <f>SUMIFS('reductions data'!H:H,'reductions data'!G:G,'reasons for reduction division'!B94,'reductions data'!A:A,$G$85)</f>
        <v>0</v>
      </c>
      <c r="H94" s="62">
        <f>SUMIFS('reductions data'!H:H,'reductions data'!G:G,'reasons for reduction division'!B94,'reductions data'!A:A,$H$85)</f>
        <v>0</v>
      </c>
      <c r="I94" s="62">
        <f>SUMIFS('reductions data'!H:H,'reductions data'!G:G,'reasons for reduction division'!B94,'reductions data'!A:A,$I$85)</f>
        <v>0</v>
      </c>
      <c r="J94" s="62">
        <f>SUMIFS('reductions data'!H:H,'reductions data'!G:G,'reasons for reduction division'!B94,'reductions data'!A:A,$J$85)</f>
        <v>0</v>
      </c>
      <c r="K94" s="62">
        <f>SUMIFS('reductions data'!H:H,'reductions data'!G:G,'reasons for reduction division'!B94,'reductions data'!A:A,$K$85)</f>
        <v>0</v>
      </c>
      <c r="L94" s="62">
        <f>SUMIFS('reductions data'!H:H,'reductions data'!G:G,'reasons for reduction division'!B94,'reductions data'!A:A,$L$85)</f>
        <v>0</v>
      </c>
      <c r="M94" s="62">
        <f>SUMIFS('reductions data'!H:H,'reductions data'!G:G,'reasons for reduction division'!B94,'reductions data'!A:A,$M$85)</f>
        <v>0</v>
      </c>
      <c r="N94" s="62">
        <f>SUMIFS('reductions data'!H:H,'reductions data'!G:G,'reasons for reduction division'!B94,'reductions data'!A:A,$N$85)</f>
        <v>0</v>
      </c>
      <c r="O94" s="105">
        <f>SUMIF('reductions data'!G:G,'reasons for reduction division'!B94,'reductions data'!H:H)</f>
        <v>0</v>
      </c>
    </row>
    <row r="95" spans="2:15" x14ac:dyDescent="0.25">
      <c r="B95" s="113" t="s">
        <v>916</v>
      </c>
      <c r="C95" s="62">
        <f>SUMIFS('reductions data'!H:H,'reductions data'!G:G,'reasons for reduction division'!B95,'reductions data'!A:A,$C$85)</f>
        <v>0</v>
      </c>
      <c r="D95" s="62">
        <f>SUMIFS('reductions data'!H:H,'reductions data'!G:G,'reasons for reduction division'!B95,'reductions data'!A:A,$D$85)</f>
        <v>0</v>
      </c>
      <c r="E95" s="62">
        <f>SUMIFS('reductions data'!H:H,'reductions data'!G:G,'reasons for reduction division'!B95,'reductions data'!A:A,$E$85)</f>
        <v>0</v>
      </c>
      <c r="F95" s="62">
        <f>SUMIFS('reductions data'!H:H,'reductions data'!G:G,'reasons for reduction division'!B95,'reductions data'!A:A,$F$85)</f>
        <v>0</v>
      </c>
      <c r="G95" s="62">
        <f>SUMIFS('reductions data'!H:H,'reductions data'!G:G,'reasons for reduction division'!B95,'reductions data'!A:A,$G$85)</f>
        <v>0</v>
      </c>
      <c r="H95" s="62">
        <f>SUMIFS('reductions data'!H:H,'reductions data'!G:G,'reasons for reduction division'!B95,'reductions data'!A:A,$H$85)</f>
        <v>0</v>
      </c>
      <c r="I95" s="62">
        <f>SUMIFS('reductions data'!H:H,'reductions data'!G:G,'reasons for reduction division'!B95,'reductions data'!A:A,$I$85)</f>
        <v>0</v>
      </c>
      <c r="J95" s="62">
        <f>SUMIFS('reductions data'!H:H,'reductions data'!G:G,'reasons for reduction division'!B95,'reductions data'!A:A,$J$85)</f>
        <v>0</v>
      </c>
      <c r="K95" s="62">
        <f>SUMIFS('reductions data'!H:H,'reductions data'!G:G,'reasons for reduction division'!B95,'reductions data'!A:A,$K$85)</f>
        <v>0</v>
      </c>
      <c r="L95" s="62">
        <f>SUMIFS('reductions data'!H:H,'reductions data'!G:G,'reasons for reduction division'!B95,'reductions data'!A:A,$L$85)</f>
        <v>0</v>
      </c>
      <c r="M95" s="62">
        <f>SUMIFS('reductions data'!H:H,'reductions data'!G:G,'reasons for reduction division'!B95,'reductions data'!A:A,$M$85)</f>
        <v>0</v>
      </c>
      <c r="N95" s="62">
        <f>SUMIFS('reductions data'!H:H,'reductions data'!G:G,'reasons for reduction division'!B95,'reductions data'!A:A,$N$85)</f>
        <v>0</v>
      </c>
      <c r="O95" s="105">
        <f>SUMIF('reductions data'!G:G,'reasons for reduction division'!B95,'reductions data'!H:H)</f>
        <v>0</v>
      </c>
    </row>
    <row r="96" spans="2:15" x14ac:dyDescent="0.25">
      <c r="B96" s="113" t="s">
        <v>917</v>
      </c>
      <c r="C96" s="62">
        <f>SUMIFS('reductions data'!H:H,'reductions data'!G:G,'reasons for reduction division'!B96,'reductions data'!A:A,$C$85)</f>
        <v>0</v>
      </c>
      <c r="D96" s="62">
        <f>SUMIFS('reductions data'!H:H,'reductions data'!G:G,'reasons for reduction division'!B96,'reductions data'!A:A,$D$85)</f>
        <v>0</v>
      </c>
      <c r="E96" s="62">
        <f>SUMIFS('reductions data'!H:H,'reductions data'!G:G,'reasons for reduction division'!B96,'reductions data'!A:A,$E$85)</f>
        <v>0</v>
      </c>
      <c r="F96" s="62">
        <f>SUMIFS('reductions data'!H:H,'reductions data'!G:G,'reasons for reduction division'!B96,'reductions data'!A:A,$F$85)</f>
        <v>0</v>
      </c>
      <c r="G96" s="62">
        <f>SUMIFS('reductions data'!H:H,'reductions data'!G:G,'reasons for reduction division'!B96,'reductions data'!A:A,$G$85)</f>
        <v>0</v>
      </c>
      <c r="H96" s="62">
        <f>SUMIFS('reductions data'!H:H,'reductions data'!G:G,'reasons for reduction division'!B96,'reductions data'!A:A,$H$85)</f>
        <v>0</v>
      </c>
      <c r="I96" s="62">
        <f>SUMIFS('reductions data'!H:H,'reductions data'!G:G,'reasons for reduction division'!B96,'reductions data'!A:A,$I$85)</f>
        <v>0</v>
      </c>
      <c r="J96" s="62">
        <f>SUMIFS('reductions data'!H:H,'reductions data'!G:G,'reasons for reduction division'!B96,'reductions data'!A:A,$J$85)</f>
        <v>0</v>
      </c>
      <c r="K96" s="62">
        <f>SUMIFS('reductions data'!H:H,'reductions data'!G:G,'reasons for reduction division'!B96,'reductions data'!A:A,$K$85)</f>
        <v>0</v>
      </c>
      <c r="L96" s="62">
        <f>SUMIFS('reductions data'!H:H,'reductions data'!G:G,'reasons for reduction division'!B96,'reductions data'!A:A,$L$85)</f>
        <v>0</v>
      </c>
      <c r="M96" s="62">
        <f>SUMIFS('reductions data'!H:H,'reductions data'!G:G,'reasons for reduction division'!B96,'reductions data'!A:A,$M$85)</f>
        <v>0</v>
      </c>
      <c r="N96" s="62">
        <f>SUMIFS('reductions data'!H:H,'reductions data'!G:G,'reasons for reduction division'!B96,'reductions data'!A:A,$N$85)</f>
        <v>0</v>
      </c>
      <c r="O96" s="105">
        <f>SUMIF('reductions data'!G:G,'reasons for reduction division'!B96,'reductions data'!H:H)</f>
        <v>0</v>
      </c>
    </row>
    <row r="97" spans="2:15" x14ac:dyDescent="0.25">
      <c r="B97" s="113" t="s">
        <v>918</v>
      </c>
      <c r="C97" s="62">
        <f>SUMIFS('reductions data'!H:H,'reductions data'!G:G,'reasons for reduction division'!B97,'reductions data'!A:A,$C$85)</f>
        <v>0</v>
      </c>
      <c r="D97" s="62">
        <f>SUMIFS('reductions data'!H:H,'reductions data'!G:G,'reasons for reduction division'!B97,'reductions data'!A:A,$D$85)</f>
        <v>0</v>
      </c>
      <c r="E97" s="62">
        <f>SUMIFS('reductions data'!H:H,'reductions data'!G:G,'reasons for reduction division'!B97,'reductions data'!A:A,$E$85)</f>
        <v>0</v>
      </c>
      <c r="F97" s="62">
        <f>SUMIFS('reductions data'!H:H,'reductions data'!G:G,'reasons for reduction division'!B97,'reductions data'!A:A,$F$85)</f>
        <v>0</v>
      </c>
      <c r="G97" s="62">
        <f>SUMIFS('reductions data'!H:H,'reductions data'!G:G,'reasons for reduction division'!B97,'reductions data'!A:A,$G$85)</f>
        <v>0</v>
      </c>
      <c r="H97" s="62">
        <f>SUMIFS('reductions data'!H:H,'reductions data'!G:G,'reasons for reduction division'!B97,'reductions data'!A:A,$H$85)</f>
        <v>0</v>
      </c>
      <c r="I97" s="62">
        <f>SUMIFS('reductions data'!H:H,'reductions data'!G:G,'reasons for reduction division'!B97,'reductions data'!A:A,$I$85)</f>
        <v>0</v>
      </c>
      <c r="J97" s="62">
        <f>SUMIFS('reductions data'!H:H,'reductions data'!G:G,'reasons for reduction division'!B97,'reductions data'!A:A,$J$85)</f>
        <v>0</v>
      </c>
      <c r="K97" s="62">
        <f>SUMIFS('reductions data'!H:H,'reductions data'!G:G,'reasons for reduction division'!B97,'reductions data'!A:A,$K$85)</f>
        <v>0</v>
      </c>
      <c r="L97" s="62">
        <f>SUMIFS('reductions data'!H:H,'reductions data'!G:G,'reasons for reduction division'!B97,'reductions data'!A:A,$L$85)</f>
        <v>0</v>
      </c>
      <c r="M97" s="62">
        <f>SUMIFS('reductions data'!H:H,'reductions data'!G:G,'reasons for reduction division'!B97,'reductions data'!A:A,$M$85)</f>
        <v>0</v>
      </c>
      <c r="N97" s="62">
        <f>SUMIFS('reductions data'!H:H,'reductions data'!G:G,'reasons for reduction division'!B97,'reductions data'!A:A,$N$85)</f>
        <v>0</v>
      </c>
      <c r="O97" s="105">
        <f>SUMIF('reductions data'!G:G,'reasons for reduction division'!B97,'reductions data'!H:H)</f>
        <v>0</v>
      </c>
    </row>
    <row r="98" spans="2:15" x14ac:dyDescent="0.25">
      <c r="B98" s="113" t="s">
        <v>920</v>
      </c>
      <c r="C98" s="62">
        <f>SUMIFS('reductions data'!H:H,'reductions data'!G:G,'reasons for reduction division'!B98,'reductions data'!A:A,$C$85)</f>
        <v>0</v>
      </c>
      <c r="D98" s="62">
        <f>SUMIFS('reductions data'!H:H,'reductions data'!G:G,'reasons for reduction division'!B98,'reductions data'!A:A,$D$85)</f>
        <v>0</v>
      </c>
      <c r="E98" s="62">
        <f>SUMIFS('reductions data'!H:H,'reductions data'!G:G,'reasons for reduction division'!B98,'reductions data'!A:A,$E$85)</f>
        <v>0</v>
      </c>
      <c r="F98" s="62">
        <f>SUMIFS('reductions data'!H:H,'reductions data'!G:G,'reasons for reduction division'!B98,'reductions data'!A:A,$F$85)</f>
        <v>0</v>
      </c>
      <c r="G98" s="62">
        <f>SUMIFS('reductions data'!H:H,'reductions data'!G:G,'reasons for reduction division'!B98,'reductions data'!A:A,$G$85)</f>
        <v>0</v>
      </c>
      <c r="H98" s="62">
        <f>SUMIFS('reductions data'!H:H,'reductions data'!G:G,'reasons for reduction division'!B98,'reductions data'!A:A,$H$85)</f>
        <v>0</v>
      </c>
      <c r="I98" s="62">
        <f>SUMIFS('reductions data'!H:H,'reductions data'!G:G,'reasons for reduction division'!B98,'reductions data'!A:A,$I$85)</f>
        <v>0</v>
      </c>
      <c r="J98" s="62">
        <f>SUMIFS('reductions data'!H:H,'reductions data'!G:G,'reasons for reduction division'!B98,'reductions data'!A:A,$J$85)</f>
        <v>0</v>
      </c>
      <c r="K98" s="62">
        <f>SUMIFS('reductions data'!H:H,'reductions data'!G:G,'reasons for reduction division'!B98,'reductions data'!A:A,$K$85)</f>
        <v>0</v>
      </c>
      <c r="L98" s="62">
        <f>SUMIFS('reductions data'!H:H,'reductions data'!G:G,'reasons for reduction division'!B98,'reductions data'!A:A,$L$85)</f>
        <v>0</v>
      </c>
      <c r="M98" s="62">
        <f>SUMIFS('reductions data'!H:H,'reductions data'!G:G,'reasons for reduction division'!B98,'reductions data'!A:A,$M$85)</f>
        <v>0</v>
      </c>
      <c r="N98" s="62">
        <f>SUMIFS('reductions data'!H:H,'reductions data'!G:G,'reasons for reduction division'!B98,'reductions data'!A:A,$N$85)</f>
        <v>0</v>
      </c>
      <c r="O98" s="105">
        <f>SUMIF('reductions data'!G:G,'reasons for reduction division'!B98,'reductions data'!H:H)</f>
        <v>0</v>
      </c>
    </row>
    <row r="99" spans="2:15" x14ac:dyDescent="0.25">
      <c r="B99" s="113" t="s">
        <v>923</v>
      </c>
      <c r="C99" s="62">
        <f>SUMIFS('reductions data'!H:H,'reductions data'!G:G,'reasons for reduction division'!B99,'reductions data'!A:A,$C$85)</f>
        <v>0</v>
      </c>
      <c r="D99" s="62">
        <f>SUMIFS('reductions data'!H:H,'reductions data'!G:G,'reasons for reduction division'!B99,'reductions data'!A:A,$D$85)</f>
        <v>0</v>
      </c>
      <c r="E99" s="62">
        <f>SUMIFS('reductions data'!H:H,'reductions data'!G:G,'reasons for reduction division'!B99,'reductions data'!A:A,$E$85)</f>
        <v>0</v>
      </c>
      <c r="F99" s="62">
        <f>SUMIFS('reductions data'!H:H,'reductions data'!G:G,'reasons for reduction division'!B99,'reductions data'!A:A,$F$85)</f>
        <v>0</v>
      </c>
      <c r="G99" s="62">
        <f>SUMIFS('reductions data'!H:H,'reductions data'!G:G,'reasons for reduction division'!B99,'reductions data'!A:A,$G$85)</f>
        <v>0</v>
      </c>
      <c r="H99" s="62">
        <f>SUMIFS('reductions data'!H:H,'reductions data'!G:G,'reasons for reduction division'!B99,'reductions data'!A:A,$H$85)</f>
        <v>0</v>
      </c>
      <c r="I99" s="62">
        <f>SUMIFS('reductions data'!H:H,'reductions data'!G:G,'reasons for reduction division'!B99,'reductions data'!A:A,$I$85)</f>
        <v>0</v>
      </c>
      <c r="J99" s="62">
        <f>SUMIFS('reductions data'!H:H,'reductions data'!G:G,'reasons for reduction division'!B99,'reductions data'!A:A,$J$85)</f>
        <v>0</v>
      </c>
      <c r="K99" s="62">
        <f>SUMIFS('reductions data'!H:H,'reductions data'!G:G,'reasons for reduction division'!B99,'reductions data'!A:A,$K$85)</f>
        <v>0</v>
      </c>
      <c r="L99" s="62">
        <f>SUMIFS('reductions data'!H:H,'reductions data'!G:G,'reasons for reduction division'!B99,'reductions data'!A:A,$L$85)</f>
        <v>0</v>
      </c>
      <c r="M99" s="62">
        <f>SUMIFS('reductions data'!H:H,'reductions data'!G:G,'reasons for reduction division'!B99,'reductions data'!A:A,$M$85)</f>
        <v>0</v>
      </c>
      <c r="N99" s="62">
        <f>SUMIFS('reductions data'!H:H,'reductions data'!G:G,'reasons for reduction division'!B99,'reductions data'!A:A,$N$85)</f>
        <v>0</v>
      </c>
      <c r="O99" s="105">
        <f>SUMIF('reductions data'!G:G,'reasons for reduction division'!B99,'reductions data'!H:H)</f>
        <v>0</v>
      </c>
    </row>
    <row r="100" spans="2:15" x14ac:dyDescent="0.25">
      <c r="B100" s="113" t="s">
        <v>919</v>
      </c>
      <c r="C100" s="62">
        <f>SUMIFS('reductions data'!H:H,'reductions data'!G:G,'reasons for reduction division'!B100,'reductions data'!A:A,$C$85)</f>
        <v>0</v>
      </c>
      <c r="D100" s="62">
        <f>SUMIFS('reductions data'!H:H,'reductions data'!G:G,'reasons for reduction division'!B100,'reductions data'!A:A,$D$85)</f>
        <v>0</v>
      </c>
      <c r="E100" s="62">
        <f>SUMIFS('reductions data'!H:H,'reductions data'!G:G,'reasons for reduction division'!B100,'reductions data'!A:A,$E$85)</f>
        <v>0</v>
      </c>
      <c r="F100" s="62">
        <f>SUMIFS('reductions data'!H:H,'reductions data'!G:G,'reasons for reduction division'!B100,'reductions data'!A:A,$F$85)</f>
        <v>0</v>
      </c>
      <c r="G100" s="62">
        <f>SUMIFS('reductions data'!H:H,'reductions data'!G:G,'reasons for reduction division'!B100,'reductions data'!A:A,$G$85)</f>
        <v>0</v>
      </c>
      <c r="H100" s="62">
        <f>SUMIFS('reductions data'!H:H,'reductions data'!G:G,'reasons for reduction division'!B100,'reductions data'!A:A,$H$85)</f>
        <v>0</v>
      </c>
      <c r="I100" s="62">
        <f>SUMIFS('reductions data'!H:H,'reductions data'!G:G,'reasons for reduction division'!B100,'reductions data'!A:A,$I$85)</f>
        <v>0</v>
      </c>
      <c r="J100" s="62">
        <f>SUMIFS('reductions data'!H:H,'reductions data'!G:G,'reasons for reduction division'!B100,'reductions data'!A:A,$J$85)</f>
        <v>0</v>
      </c>
      <c r="K100" s="62">
        <f>SUMIFS('reductions data'!H:H,'reductions data'!G:G,'reasons for reduction division'!B100,'reductions data'!A:A,$K$85)</f>
        <v>0</v>
      </c>
      <c r="L100" s="62">
        <f>SUMIFS('reductions data'!H:H,'reductions data'!G:G,'reasons for reduction division'!B100,'reductions data'!A:A,$L$85)</f>
        <v>0</v>
      </c>
      <c r="M100" s="62">
        <f>SUMIFS('reductions data'!H:H,'reductions data'!G:G,'reasons for reduction division'!B100,'reductions data'!A:A,$M$85)</f>
        <v>0</v>
      </c>
      <c r="N100" s="62">
        <f>SUMIFS('reductions data'!H:H,'reductions data'!G:G,'reasons for reduction division'!B100,'reductions data'!A:A,$N$85)</f>
        <v>0</v>
      </c>
      <c r="O100" s="105">
        <f>SUMIF('reductions data'!G:G,'reasons for reduction division'!B100,'reductions data'!H:H)</f>
        <v>0</v>
      </c>
    </row>
    <row r="101" spans="2:15" x14ac:dyDescent="0.25">
      <c r="B101" s="113" t="s">
        <v>1011</v>
      </c>
      <c r="C101" s="62">
        <f>SUMIFS('reductions data'!H:H,'reductions data'!G:G,'reasons for reduction division'!B101,'reductions data'!A:A,$C$85)</f>
        <v>0</v>
      </c>
      <c r="D101" s="62">
        <f>SUMIFS('reductions data'!H:H,'reductions data'!G:G,'reasons for reduction division'!B101,'reductions data'!A:A,$D$85)</f>
        <v>0</v>
      </c>
      <c r="E101" s="62">
        <f>SUMIFS('reductions data'!H:H,'reductions data'!G:G,'reasons for reduction division'!B101,'reductions data'!A:A,$E$85)</f>
        <v>0</v>
      </c>
      <c r="F101" s="62">
        <f>SUMIFS('reductions data'!H:H,'reductions data'!G:G,'reasons for reduction division'!B101,'reductions data'!A:A,$F$85)</f>
        <v>0</v>
      </c>
      <c r="G101" s="62">
        <f>SUMIFS('reductions data'!H:H,'reductions data'!G:G,'reasons for reduction division'!B101,'reductions data'!A:A,$G$85)</f>
        <v>0</v>
      </c>
      <c r="H101" s="62">
        <f>SUMIFS('reductions data'!H:H,'reductions data'!G:G,'reasons for reduction division'!B101,'reductions data'!A:A,$H$85)</f>
        <v>0</v>
      </c>
      <c r="I101" s="62">
        <f>SUMIFS('reductions data'!H:H,'reductions data'!G:G,'reasons for reduction division'!B101,'reductions data'!A:A,$I$85)</f>
        <v>0</v>
      </c>
      <c r="J101" s="62">
        <f>SUMIFS('reductions data'!H:H,'reductions data'!G:G,'reasons for reduction division'!B101,'reductions data'!A:A,$J$85)</f>
        <v>0</v>
      </c>
      <c r="K101" s="62">
        <f>SUMIFS('reductions data'!H:H,'reductions data'!G:G,'reasons for reduction division'!B101,'reductions data'!A:A,$K$85)</f>
        <v>0</v>
      </c>
      <c r="L101" s="62">
        <f>SUMIFS('reductions data'!H:H,'reductions data'!G:G,'reasons for reduction division'!B101,'reductions data'!A:A,$L$85)</f>
        <v>0</v>
      </c>
      <c r="M101" s="62">
        <f>SUMIFS('reductions data'!H:H,'reductions data'!G:G,'reasons for reduction division'!B101,'reductions data'!A:A,$M$85)</f>
        <v>0</v>
      </c>
      <c r="N101" s="62">
        <f>SUMIFS('reductions data'!H:H,'reductions data'!G:G,'reasons for reduction division'!B101,'reductions data'!A:A,$N$85)</f>
        <v>0</v>
      </c>
      <c r="O101" s="105">
        <f>SUMIF('reductions data'!G:G,'reasons for reduction division'!B101,'reductions data'!H:H)</f>
        <v>0</v>
      </c>
    </row>
    <row r="102" spans="2:15" x14ac:dyDescent="0.25">
      <c r="B102" s="113" t="s">
        <v>924</v>
      </c>
      <c r="C102" s="62">
        <f>SUMIFS('reductions data'!H:H,'reductions data'!G:G,'reasons for reduction division'!B102,'reductions data'!A:A,$C$85)</f>
        <v>0</v>
      </c>
      <c r="D102" s="62">
        <f>SUMIFS('reductions data'!H:H,'reductions data'!G:G,'reasons for reduction division'!B102,'reductions data'!A:A,$D$85)</f>
        <v>0</v>
      </c>
      <c r="E102" s="62">
        <f>SUMIFS('reductions data'!H:H,'reductions data'!G:G,'reasons for reduction division'!B102,'reductions data'!A:A,$E$85)</f>
        <v>0</v>
      </c>
      <c r="F102" s="62">
        <f>SUMIFS('reductions data'!H:H,'reductions data'!G:G,'reasons for reduction division'!B102,'reductions data'!A:A,$F$85)</f>
        <v>0</v>
      </c>
      <c r="G102" s="62">
        <f>SUMIFS('reductions data'!H:H,'reductions data'!G:G,'reasons for reduction division'!B102,'reductions data'!A:A,$G$85)</f>
        <v>0</v>
      </c>
      <c r="H102" s="62">
        <f>SUMIFS('reductions data'!H:H,'reductions data'!G:G,'reasons for reduction division'!B102,'reductions data'!A:A,$H$85)</f>
        <v>0</v>
      </c>
      <c r="I102" s="62">
        <f>SUMIFS('reductions data'!H:H,'reductions data'!G:G,'reasons for reduction division'!B102,'reductions data'!A:A,$I$85)</f>
        <v>0</v>
      </c>
      <c r="J102" s="62">
        <f>SUMIFS('reductions data'!H:H,'reductions data'!G:G,'reasons for reduction division'!B102,'reductions data'!A:A,$J$85)</f>
        <v>0</v>
      </c>
      <c r="K102" s="62">
        <f>SUMIFS('reductions data'!H:H,'reductions data'!G:G,'reasons for reduction division'!B102,'reductions data'!A:A,$K$85)</f>
        <v>0</v>
      </c>
      <c r="L102" s="62">
        <f>SUMIFS('reductions data'!H:H,'reductions data'!G:G,'reasons for reduction division'!B102,'reductions data'!A:A,$L$85)</f>
        <v>0</v>
      </c>
      <c r="M102" s="62">
        <f>SUMIFS('reductions data'!H:H,'reductions data'!G:G,'reasons for reduction division'!B102,'reductions data'!A:A,$M$85)</f>
        <v>0</v>
      </c>
      <c r="N102" s="62">
        <f>SUMIFS('reductions data'!H:H,'reductions data'!G:G,'reasons for reduction division'!B102,'reductions data'!A:A,$N$85)</f>
        <v>0</v>
      </c>
      <c r="O102" s="105">
        <f>SUMIF('reductions data'!G:G,'reasons for reduction division'!B102,'reductions data'!H:H)</f>
        <v>0</v>
      </c>
    </row>
    <row r="103" spans="2:15" x14ac:dyDescent="0.25">
      <c r="B103" s="113" t="s">
        <v>925</v>
      </c>
      <c r="C103" s="62">
        <f>SUMIFS('reductions data'!H:H,'reductions data'!G:G,'reasons for reduction division'!B103,'reductions data'!A:A,$C$85)</f>
        <v>0</v>
      </c>
      <c r="D103" s="62">
        <f>SUMIFS('reductions data'!H:H,'reductions data'!G:G,'reasons for reduction division'!B103,'reductions data'!A:A,$D$85)</f>
        <v>0</v>
      </c>
      <c r="E103" s="62">
        <f>SUMIFS('reductions data'!H:H,'reductions data'!G:G,'reasons for reduction division'!B103,'reductions data'!A:A,$E$85)</f>
        <v>0</v>
      </c>
      <c r="F103" s="62">
        <f>SUMIFS('reductions data'!H:H,'reductions data'!G:G,'reasons for reduction division'!B103,'reductions data'!A:A,$F$85)</f>
        <v>0</v>
      </c>
      <c r="G103" s="62">
        <f>SUMIFS('reductions data'!H:H,'reductions data'!G:G,'reasons for reduction division'!B103,'reductions data'!A:A,$G$85)</f>
        <v>0</v>
      </c>
      <c r="H103" s="62">
        <f>SUMIFS('reductions data'!H:H,'reductions data'!G:G,'reasons for reduction division'!B103,'reductions data'!A:A,$H$85)</f>
        <v>0</v>
      </c>
      <c r="I103" s="62">
        <f>SUMIFS('reductions data'!H:H,'reductions data'!G:G,'reasons for reduction division'!B103,'reductions data'!A:A,$I$85)</f>
        <v>0</v>
      </c>
      <c r="J103" s="62">
        <f>SUMIFS('reductions data'!H:H,'reductions data'!G:G,'reasons for reduction division'!B103,'reductions data'!A:A,$J$85)</f>
        <v>0</v>
      </c>
      <c r="K103" s="62">
        <f>SUMIFS('reductions data'!H:H,'reductions data'!G:G,'reasons for reduction division'!B103,'reductions data'!A:A,$K$85)</f>
        <v>0</v>
      </c>
      <c r="L103" s="62">
        <f>SUMIFS('reductions data'!H:H,'reductions data'!G:G,'reasons for reduction division'!B103,'reductions data'!A:A,$L$85)</f>
        <v>0</v>
      </c>
      <c r="M103" s="62">
        <f>SUMIFS('reductions data'!H:H,'reductions data'!G:G,'reasons for reduction division'!B103,'reductions data'!A:A,$M$85)</f>
        <v>0</v>
      </c>
      <c r="N103" s="62">
        <f>SUMIFS('reductions data'!H:H,'reductions data'!G:G,'reasons for reduction division'!B103,'reductions data'!A:A,$N$85)</f>
        <v>0</v>
      </c>
      <c r="O103" s="105">
        <f>SUMIF('reductions data'!G:G,'reasons for reduction division'!B103,'reductions data'!H:H)</f>
        <v>0</v>
      </c>
    </row>
    <row r="104" spans="2:15" x14ac:dyDescent="0.25">
      <c r="B104" s="113" t="s">
        <v>926</v>
      </c>
      <c r="C104" s="62">
        <f>SUMIFS('reductions data'!H:H,'reductions data'!G:G,'reasons for reduction division'!B104,'reductions data'!A:A,$C$85)</f>
        <v>0</v>
      </c>
      <c r="D104" s="62">
        <f>SUMIFS('reductions data'!H:H,'reductions data'!G:G,'reasons for reduction division'!B104,'reductions data'!A:A,$D$85)</f>
        <v>0</v>
      </c>
      <c r="E104" s="62">
        <f>SUMIFS('reductions data'!H:H,'reductions data'!G:G,'reasons for reduction division'!B104,'reductions data'!A:A,$E$85)</f>
        <v>0</v>
      </c>
      <c r="F104" s="62">
        <f>SUMIFS('reductions data'!H:H,'reductions data'!G:G,'reasons for reduction division'!B104,'reductions data'!A:A,$F$85)</f>
        <v>0</v>
      </c>
      <c r="G104" s="62">
        <f>SUMIFS('reductions data'!H:H,'reductions data'!G:G,'reasons for reduction division'!B104,'reductions data'!A:A,$G$85)</f>
        <v>0</v>
      </c>
      <c r="H104" s="62">
        <f>SUMIFS('reductions data'!H:H,'reductions data'!G:G,'reasons for reduction division'!B104,'reductions data'!A:A,$H$85)</f>
        <v>0</v>
      </c>
      <c r="I104" s="62">
        <f>SUMIFS('reductions data'!H:H,'reductions data'!G:G,'reasons for reduction division'!B104,'reductions data'!A:A,$I$85)</f>
        <v>0</v>
      </c>
      <c r="J104" s="62">
        <f>SUMIFS('reductions data'!H:H,'reductions data'!G:G,'reasons for reduction division'!B104,'reductions data'!A:A,$J$85)</f>
        <v>0</v>
      </c>
      <c r="K104" s="62">
        <f>SUMIFS('reductions data'!H:H,'reductions data'!G:G,'reasons for reduction division'!B104,'reductions data'!A:A,$K$85)</f>
        <v>0</v>
      </c>
      <c r="L104" s="62">
        <f>SUMIFS('reductions data'!H:H,'reductions data'!G:G,'reasons for reduction division'!B104,'reductions data'!A:A,$L$85)</f>
        <v>0</v>
      </c>
      <c r="M104" s="62">
        <f>SUMIFS('reductions data'!H:H,'reductions data'!G:G,'reasons for reduction division'!B104,'reductions data'!A:A,$M$85)</f>
        <v>0</v>
      </c>
      <c r="N104" s="62">
        <f>SUMIFS('reductions data'!H:H,'reductions data'!G:G,'reasons for reduction division'!B104,'reductions data'!A:A,$N$85)</f>
        <v>0</v>
      </c>
      <c r="O104" s="105">
        <f>SUMIF('reductions data'!G:G,'reasons for reduction division'!B104,'reductions data'!H:H)</f>
        <v>0</v>
      </c>
    </row>
    <row r="105" spans="2:15" x14ac:dyDescent="0.25">
      <c r="B105" s="113" t="s">
        <v>927</v>
      </c>
      <c r="C105" s="62">
        <f>SUMIFS('reductions data'!H:H,'reductions data'!G:G,'reasons for reduction division'!B105,'reductions data'!A:A,$C$85)</f>
        <v>0</v>
      </c>
      <c r="D105" s="62">
        <f>SUMIFS('reductions data'!H:H,'reductions data'!G:G,'reasons for reduction division'!B105,'reductions data'!A:A,$D$85)</f>
        <v>0</v>
      </c>
      <c r="E105" s="62">
        <f>SUMIFS('reductions data'!H:H,'reductions data'!G:G,'reasons for reduction division'!B105,'reductions data'!A:A,$E$85)</f>
        <v>0</v>
      </c>
      <c r="F105" s="62">
        <f>SUMIFS('reductions data'!H:H,'reductions data'!G:G,'reasons for reduction division'!B105,'reductions data'!A:A,$F$85)</f>
        <v>0</v>
      </c>
      <c r="G105" s="62">
        <f>SUMIFS('reductions data'!H:H,'reductions data'!G:G,'reasons for reduction division'!B105,'reductions data'!A:A,$G$85)</f>
        <v>0</v>
      </c>
      <c r="H105" s="62">
        <f>SUMIFS('reductions data'!H:H,'reductions data'!G:G,'reasons for reduction division'!B105,'reductions data'!A:A,$H$85)</f>
        <v>0</v>
      </c>
      <c r="I105" s="62">
        <f>SUMIFS('reductions data'!H:H,'reductions data'!G:G,'reasons for reduction division'!B105,'reductions data'!A:A,$I$85)</f>
        <v>0</v>
      </c>
      <c r="J105" s="62">
        <f>SUMIFS('reductions data'!H:H,'reductions data'!G:G,'reasons for reduction division'!B105,'reductions data'!A:A,$J$85)</f>
        <v>0</v>
      </c>
      <c r="K105" s="62">
        <f>SUMIFS('reductions data'!H:H,'reductions data'!G:G,'reasons for reduction division'!B105,'reductions data'!A:A,$K$85)</f>
        <v>0</v>
      </c>
      <c r="L105" s="62">
        <f>SUMIFS('reductions data'!H:H,'reductions data'!G:G,'reasons for reduction division'!B105,'reductions data'!A:A,$L$85)</f>
        <v>0</v>
      </c>
      <c r="M105" s="62">
        <f>SUMIFS('reductions data'!H:H,'reductions data'!G:G,'reasons for reduction division'!B105,'reductions data'!A:A,$M$85)</f>
        <v>0</v>
      </c>
      <c r="N105" s="62">
        <f>SUMIFS('reductions data'!H:H,'reductions data'!G:G,'reasons for reduction division'!B105,'reductions data'!A:A,$N$85)</f>
        <v>0</v>
      </c>
      <c r="O105" s="105">
        <f>SUMIF('reductions data'!G:G,'reasons for reduction division'!B105,'reductions data'!H:H)</f>
        <v>0</v>
      </c>
    </row>
    <row r="106" spans="2:15" x14ac:dyDescent="0.25">
      <c r="B106" s="113" t="s">
        <v>928</v>
      </c>
      <c r="C106" s="62">
        <f>SUMIFS('reductions data'!H:H,'reductions data'!G:G,'reasons for reduction division'!B106,'reductions data'!A:A,$C$85)</f>
        <v>0</v>
      </c>
      <c r="D106" s="62">
        <f>SUMIFS('reductions data'!H:H,'reductions data'!G:G,'reasons for reduction division'!B106,'reductions data'!A:A,$D$85)</f>
        <v>0</v>
      </c>
      <c r="E106" s="62">
        <f>SUMIFS('reductions data'!H:H,'reductions data'!G:G,'reasons for reduction division'!B106,'reductions data'!A:A,$E$85)</f>
        <v>0</v>
      </c>
      <c r="F106" s="62">
        <f>SUMIFS('reductions data'!H:H,'reductions data'!G:G,'reasons for reduction division'!B106,'reductions data'!A:A,$F$85)</f>
        <v>0</v>
      </c>
      <c r="G106" s="62">
        <f>SUMIFS('reductions data'!H:H,'reductions data'!G:G,'reasons for reduction division'!B106,'reductions data'!A:A,$G$85)</f>
        <v>0</v>
      </c>
      <c r="H106" s="62">
        <f>SUMIFS('reductions data'!H:H,'reductions data'!G:G,'reasons for reduction division'!B106,'reductions data'!A:A,$H$85)</f>
        <v>0</v>
      </c>
      <c r="I106" s="62">
        <f>SUMIFS('reductions data'!H:H,'reductions data'!G:G,'reasons for reduction division'!B106,'reductions data'!A:A,$I$85)</f>
        <v>0</v>
      </c>
      <c r="J106" s="62">
        <f>SUMIFS('reductions data'!H:H,'reductions data'!G:G,'reasons for reduction division'!B106,'reductions data'!A:A,$J$85)</f>
        <v>0</v>
      </c>
      <c r="K106" s="62">
        <f>SUMIFS('reductions data'!H:H,'reductions data'!G:G,'reasons for reduction division'!B106,'reductions data'!A:A,$K$85)</f>
        <v>0</v>
      </c>
      <c r="L106" s="62">
        <f>SUMIFS('reductions data'!H:H,'reductions data'!G:G,'reasons for reduction division'!B106,'reductions data'!A:A,$L$85)</f>
        <v>0</v>
      </c>
      <c r="M106" s="62">
        <f>SUMIFS('reductions data'!H:H,'reductions data'!G:G,'reasons for reduction division'!B106,'reductions data'!A:A,$M$85)</f>
        <v>0</v>
      </c>
      <c r="N106" s="62">
        <f>SUMIFS('reductions data'!H:H,'reductions data'!G:G,'reasons for reduction division'!B106,'reductions data'!A:A,$N$85)</f>
        <v>0</v>
      </c>
      <c r="O106" s="105">
        <f>SUMIF('reductions data'!G:G,'reasons for reduction division'!B106,'reductions data'!H:H)</f>
        <v>0</v>
      </c>
    </row>
    <row r="107" spans="2:15" x14ac:dyDescent="0.25">
      <c r="B107" s="113" t="s">
        <v>929</v>
      </c>
      <c r="C107" s="62">
        <f>SUMIFS('reductions data'!H:H,'reductions data'!G:G,'reasons for reduction division'!B107,'reductions data'!A:A,$C$85)</f>
        <v>0</v>
      </c>
      <c r="D107" s="62">
        <f>SUMIFS('reductions data'!H:H,'reductions data'!G:G,'reasons for reduction division'!B107,'reductions data'!A:A,$D$85)</f>
        <v>0</v>
      </c>
      <c r="E107" s="62">
        <f>SUMIFS('reductions data'!H:H,'reductions data'!G:G,'reasons for reduction division'!B107,'reductions data'!A:A,$E$85)</f>
        <v>0</v>
      </c>
      <c r="F107" s="62">
        <f>SUMIFS('reductions data'!H:H,'reductions data'!G:G,'reasons for reduction division'!B107,'reductions data'!A:A,$F$85)</f>
        <v>0</v>
      </c>
      <c r="G107" s="62">
        <f>SUMIFS('reductions data'!H:H,'reductions data'!G:G,'reasons for reduction division'!B107,'reductions data'!A:A,$G$85)</f>
        <v>0</v>
      </c>
      <c r="H107" s="62">
        <f>SUMIFS('reductions data'!H:H,'reductions data'!G:G,'reasons for reduction division'!B107,'reductions data'!A:A,$H$85)</f>
        <v>0</v>
      </c>
      <c r="I107" s="62">
        <f>SUMIFS('reductions data'!H:H,'reductions data'!G:G,'reasons for reduction division'!B107,'reductions data'!A:A,$I$85)</f>
        <v>0</v>
      </c>
      <c r="J107" s="62">
        <f>SUMIFS('reductions data'!H:H,'reductions data'!G:G,'reasons for reduction division'!B107,'reductions data'!A:A,$J$85)</f>
        <v>0</v>
      </c>
      <c r="K107" s="62">
        <f>SUMIFS('reductions data'!H:H,'reductions data'!G:G,'reasons for reduction division'!B107,'reductions data'!A:A,$K$85)</f>
        <v>0</v>
      </c>
      <c r="L107" s="62">
        <f>SUMIFS('reductions data'!H:H,'reductions data'!G:G,'reasons for reduction division'!B107,'reductions data'!A:A,$L$85)</f>
        <v>0</v>
      </c>
      <c r="M107" s="62">
        <f>SUMIFS('reductions data'!H:H,'reductions data'!G:G,'reasons for reduction division'!B107,'reductions data'!A:A,$M$85)</f>
        <v>0</v>
      </c>
      <c r="N107" s="62">
        <f>SUMIFS('reductions data'!H:H,'reductions data'!G:G,'reasons for reduction division'!B107,'reductions data'!A:A,$N$85)</f>
        <v>0</v>
      </c>
      <c r="O107" s="105">
        <f>SUMIF('reductions data'!G:G,'reasons for reduction division'!B107,'reductions data'!H:H)</f>
        <v>0</v>
      </c>
    </row>
    <row r="108" spans="2:15" x14ac:dyDescent="0.25">
      <c r="B108" s="113" t="s">
        <v>930</v>
      </c>
      <c r="C108" s="62">
        <f>SUMIFS('reductions data'!H:H,'reductions data'!G:G,'reasons for reduction division'!B108,'reductions data'!A:A,$C$85)</f>
        <v>0</v>
      </c>
      <c r="D108" s="62">
        <f>SUMIFS('reductions data'!H:H,'reductions data'!G:G,'reasons for reduction division'!B108,'reductions data'!A:A,$D$85)</f>
        <v>0</v>
      </c>
      <c r="E108" s="62">
        <f>SUMIFS('reductions data'!H:H,'reductions data'!G:G,'reasons for reduction division'!B108,'reductions data'!A:A,$E$85)</f>
        <v>0</v>
      </c>
      <c r="F108" s="62">
        <f>SUMIFS('reductions data'!H:H,'reductions data'!G:G,'reasons for reduction division'!B108,'reductions data'!A:A,$F$85)</f>
        <v>0</v>
      </c>
      <c r="G108" s="62">
        <f>SUMIFS('reductions data'!H:H,'reductions data'!G:G,'reasons for reduction division'!B108,'reductions data'!A:A,$G$85)</f>
        <v>0</v>
      </c>
      <c r="H108" s="62">
        <f>SUMIFS('reductions data'!H:H,'reductions data'!G:G,'reasons for reduction division'!B108,'reductions data'!A:A,$H$85)</f>
        <v>0</v>
      </c>
      <c r="I108" s="62">
        <f>SUMIFS('reductions data'!H:H,'reductions data'!G:G,'reasons for reduction division'!B108,'reductions data'!A:A,$I$85)</f>
        <v>0</v>
      </c>
      <c r="J108" s="62">
        <f>SUMIFS('reductions data'!H:H,'reductions data'!G:G,'reasons for reduction division'!B108,'reductions data'!A:A,$J$85)</f>
        <v>0</v>
      </c>
      <c r="K108" s="62">
        <f>SUMIFS('reductions data'!H:H,'reductions data'!G:G,'reasons for reduction division'!B108,'reductions data'!A:A,$K$85)</f>
        <v>0</v>
      </c>
      <c r="L108" s="62">
        <f>SUMIFS('reductions data'!H:H,'reductions data'!G:G,'reasons for reduction division'!B108,'reductions data'!A:A,$L$85)</f>
        <v>0</v>
      </c>
      <c r="M108" s="62">
        <f>SUMIFS('reductions data'!H:H,'reductions data'!G:G,'reasons for reduction division'!B108,'reductions data'!A:A,$M$85)</f>
        <v>0</v>
      </c>
      <c r="N108" s="62">
        <f>SUMIFS('reductions data'!H:H,'reductions data'!G:G,'reasons for reduction division'!B108,'reductions data'!A:A,$N$85)</f>
        <v>0</v>
      </c>
      <c r="O108" s="105">
        <f>SUMIF('reductions data'!G:G,'reasons for reduction division'!B108,'reductions data'!H:H)</f>
        <v>0</v>
      </c>
    </row>
    <row r="109" spans="2:15" ht="15.75" customHeight="1" x14ac:dyDescent="0.25">
      <c r="B109" s="113" t="s">
        <v>932</v>
      </c>
      <c r="C109" s="62">
        <f>SUMIFS('reductions data'!H:H,'reductions data'!G:G,'reasons for reduction division'!B109,'reductions data'!A:A,$C$85)</f>
        <v>0</v>
      </c>
      <c r="D109" s="62">
        <f>SUMIFS('reductions data'!H:H,'reductions data'!G:G,'reasons for reduction division'!B109,'reductions data'!A:A,$D$85)</f>
        <v>0</v>
      </c>
      <c r="E109" s="62">
        <f>SUMIFS('reductions data'!H:H,'reductions data'!G:G,'reasons for reduction division'!B109,'reductions data'!A:A,$E$85)</f>
        <v>0</v>
      </c>
      <c r="F109" s="62">
        <f>SUMIFS('reductions data'!H:H,'reductions data'!G:G,'reasons for reduction division'!B109,'reductions data'!A:A,$F$85)</f>
        <v>0</v>
      </c>
      <c r="G109" s="62">
        <f>SUMIFS('reductions data'!H:H,'reductions data'!G:G,'reasons for reduction division'!B109,'reductions data'!A:A,$G$85)</f>
        <v>0</v>
      </c>
      <c r="H109" s="62">
        <f>SUMIFS('reductions data'!H:H,'reductions data'!G:G,'reasons for reduction division'!B109,'reductions data'!A:A,$H$85)</f>
        <v>0</v>
      </c>
      <c r="I109" s="62">
        <f>SUMIFS('reductions data'!H:H,'reductions data'!G:G,'reasons for reduction division'!B109,'reductions data'!A:A,$I$85)</f>
        <v>0</v>
      </c>
      <c r="J109" s="62">
        <f>SUMIFS('reductions data'!H:H,'reductions data'!G:G,'reasons for reduction division'!B109,'reductions data'!A:A,$J$85)</f>
        <v>0</v>
      </c>
      <c r="K109" s="62">
        <f>SUMIFS('reductions data'!H:H,'reductions data'!G:G,'reasons for reduction division'!B109,'reductions data'!A:A,$K$85)</f>
        <v>0</v>
      </c>
      <c r="L109" s="62">
        <f>SUMIFS('reductions data'!H:H,'reductions data'!G:G,'reasons for reduction division'!B109,'reductions data'!A:A,$L$85)</f>
        <v>0</v>
      </c>
      <c r="M109" s="62">
        <f>SUMIFS('reductions data'!H:H,'reductions data'!G:G,'reasons for reduction division'!B109,'reductions data'!A:A,$M$85)</f>
        <v>0</v>
      </c>
      <c r="N109" s="62">
        <f>SUMIFS('reductions data'!H:H,'reductions data'!G:G,'reasons for reduction division'!B109,'reductions data'!A:A,$N$85)</f>
        <v>0</v>
      </c>
      <c r="O109" s="105">
        <f>SUMIF('reductions data'!G:G,'reasons for reduction division'!B109,'reductions data'!H:H)</f>
        <v>0</v>
      </c>
    </row>
    <row r="110" spans="2:15" x14ac:dyDescent="0.25">
      <c r="B110" s="113" t="s">
        <v>934</v>
      </c>
      <c r="C110" s="62">
        <f>SUMIFS('reductions data'!H:H,'reductions data'!G:G,'reasons for reduction division'!B110,'reductions data'!A:A,$C$85)</f>
        <v>0</v>
      </c>
      <c r="D110" s="62">
        <f>SUMIFS('reductions data'!H:H,'reductions data'!G:G,'reasons for reduction division'!B110,'reductions data'!A:A,$D$85)</f>
        <v>0</v>
      </c>
      <c r="E110" s="62">
        <f>SUMIFS('reductions data'!H:H,'reductions data'!G:G,'reasons for reduction division'!B110,'reductions data'!A:A,$E$85)</f>
        <v>0</v>
      </c>
      <c r="F110" s="62">
        <f>SUMIFS('reductions data'!H:H,'reductions data'!G:G,'reasons for reduction division'!B110,'reductions data'!A:A,$F$85)</f>
        <v>0</v>
      </c>
      <c r="G110" s="62">
        <f>SUMIFS('reductions data'!H:H,'reductions data'!G:G,'reasons for reduction division'!B110,'reductions data'!A:A,$G$85)</f>
        <v>0</v>
      </c>
      <c r="H110" s="62">
        <f>SUMIFS('reductions data'!H:H,'reductions data'!G:G,'reasons for reduction division'!B110,'reductions data'!A:A,$H$85)</f>
        <v>0</v>
      </c>
      <c r="I110" s="62">
        <f>SUMIFS('reductions data'!H:H,'reductions data'!G:G,'reasons for reduction division'!B110,'reductions data'!A:A,$I$85)</f>
        <v>0</v>
      </c>
      <c r="J110" s="62">
        <f>SUMIFS('reductions data'!H:H,'reductions data'!G:G,'reasons for reduction division'!B110,'reductions data'!A:A,$J$85)</f>
        <v>0</v>
      </c>
      <c r="K110" s="62">
        <f>SUMIFS('reductions data'!H:H,'reductions data'!G:G,'reasons for reduction division'!B110,'reductions data'!A:A,$K$85)</f>
        <v>0</v>
      </c>
      <c r="L110" s="62">
        <f>SUMIFS('reductions data'!H:H,'reductions data'!G:G,'reasons for reduction division'!B110,'reductions data'!A:A,$L$85)</f>
        <v>0</v>
      </c>
      <c r="M110" s="62">
        <f>SUMIFS('reductions data'!H:H,'reductions data'!G:G,'reasons for reduction division'!B110,'reductions data'!A:A,$M$85)</f>
        <v>0</v>
      </c>
      <c r="N110" s="62">
        <f>SUMIFS('reductions data'!H:H,'reductions data'!G:G,'reasons for reduction division'!B110,'reductions data'!A:A,$N$85)</f>
        <v>0</v>
      </c>
      <c r="O110" s="105">
        <f>SUMIF('reductions data'!G:G,'reasons for reduction division'!B110,'reductions data'!H:H)</f>
        <v>0</v>
      </c>
    </row>
    <row r="111" spans="2:15" x14ac:dyDescent="0.25">
      <c r="B111" s="113" t="s">
        <v>936</v>
      </c>
      <c r="C111" s="62">
        <f>SUMIFS('reductions data'!H:H,'reductions data'!G:G,'reasons for reduction division'!B111,'reductions data'!A:A,$C$85)</f>
        <v>0</v>
      </c>
      <c r="D111" s="62">
        <f>SUMIFS('reductions data'!H:H,'reductions data'!G:G,'reasons for reduction division'!B111,'reductions data'!A:A,$D$85)</f>
        <v>0</v>
      </c>
      <c r="E111" s="62">
        <f>SUMIFS('reductions data'!H:H,'reductions data'!G:G,'reasons for reduction division'!B111,'reductions data'!A:A,$E$85)</f>
        <v>0</v>
      </c>
      <c r="F111" s="62">
        <f>SUMIFS('reductions data'!H:H,'reductions data'!G:G,'reasons for reduction division'!B111,'reductions data'!A:A,$F$85)</f>
        <v>0</v>
      </c>
      <c r="G111" s="62">
        <f>SUMIFS('reductions data'!H:H,'reductions data'!G:G,'reasons for reduction division'!B111,'reductions data'!A:A,$G$85)</f>
        <v>0</v>
      </c>
      <c r="H111" s="62">
        <f>SUMIFS('reductions data'!H:H,'reductions data'!G:G,'reasons for reduction division'!B111,'reductions data'!A:A,$H$85)</f>
        <v>0</v>
      </c>
      <c r="I111" s="62">
        <f>SUMIFS('reductions data'!H:H,'reductions data'!G:G,'reasons for reduction division'!B111,'reductions data'!A:A,$I$85)</f>
        <v>0</v>
      </c>
      <c r="J111" s="62">
        <f>SUMIFS('reductions data'!H:H,'reductions data'!G:G,'reasons for reduction division'!B111,'reductions data'!A:A,$J$85)</f>
        <v>0</v>
      </c>
      <c r="K111" s="62">
        <f>SUMIFS('reductions data'!H:H,'reductions data'!G:G,'reasons for reduction division'!B111,'reductions data'!A:A,$K$85)</f>
        <v>0</v>
      </c>
      <c r="L111" s="62">
        <f>SUMIFS('reductions data'!H:H,'reductions data'!G:G,'reasons for reduction division'!B111,'reductions data'!A:A,$L$85)</f>
        <v>0</v>
      </c>
      <c r="M111" s="62">
        <f>SUMIFS('reductions data'!H:H,'reductions data'!G:G,'reasons for reduction division'!B111,'reductions data'!A:A,$M$85)</f>
        <v>0</v>
      </c>
      <c r="N111" s="62">
        <f>SUMIFS('reductions data'!H:H,'reductions data'!G:G,'reasons for reduction division'!B111,'reductions data'!A:A,$N$85)</f>
        <v>0</v>
      </c>
      <c r="O111" s="105">
        <f>SUMIF('reductions data'!G:G,'reasons for reduction division'!B111,'reductions data'!H:H)</f>
        <v>0</v>
      </c>
    </row>
    <row r="112" spans="2:15" x14ac:dyDescent="0.25">
      <c r="B112" s="113" t="s">
        <v>1280</v>
      </c>
      <c r="C112" s="62">
        <f>SUMIFS('reductions data'!H:H,'reductions data'!G:G,'reasons for reduction division'!B112,'reductions data'!A:A,$C$85)</f>
        <v>0</v>
      </c>
      <c r="D112" s="62">
        <f>SUMIFS('reductions data'!H:H,'reductions data'!G:G,'reasons for reduction division'!B112,'reductions data'!A:A,$D$85)</f>
        <v>0</v>
      </c>
      <c r="E112" s="62">
        <f>SUMIFS('reductions data'!H:H,'reductions data'!G:G,'reasons for reduction division'!B112,'reductions data'!A:A,$E$85)</f>
        <v>0</v>
      </c>
      <c r="F112" s="62">
        <f>SUMIFS('reductions data'!H:H,'reductions data'!G:G,'reasons for reduction division'!B112,'reductions data'!A:A,$F$85)</f>
        <v>0</v>
      </c>
      <c r="G112" s="62">
        <f>SUMIFS('reductions data'!H:H,'reductions data'!G:G,'reasons for reduction division'!B112,'reductions data'!A:A,$G$85)</f>
        <v>0</v>
      </c>
      <c r="H112" s="62">
        <f>SUMIFS('reductions data'!H:H,'reductions data'!G:G,'reasons for reduction division'!B112,'reductions data'!A:A,$H$85)</f>
        <v>0</v>
      </c>
      <c r="I112" s="62">
        <f>SUMIFS('reductions data'!H:H,'reductions data'!G:G,'reasons for reduction division'!B112,'reductions data'!A:A,$I$85)</f>
        <v>0</v>
      </c>
      <c r="J112" s="62">
        <f>SUMIFS('reductions data'!H:H,'reductions data'!G:G,'reasons for reduction division'!B112,'reductions data'!A:A,$J$85)</f>
        <v>0</v>
      </c>
      <c r="K112" s="62">
        <f>SUMIFS('reductions data'!H:H,'reductions data'!G:G,'reasons for reduction division'!B112,'reductions data'!A:A,$K$85)</f>
        <v>0</v>
      </c>
      <c r="L112" s="62">
        <f>SUMIFS('reductions data'!H:H,'reductions data'!G:G,'reasons for reduction division'!B112,'reductions data'!A:A,$L$85)</f>
        <v>0</v>
      </c>
      <c r="M112" s="62">
        <f>SUMIFS('reductions data'!H:H,'reductions data'!G:G,'reasons for reduction division'!B112,'reductions data'!A:A,$M$85)</f>
        <v>0</v>
      </c>
      <c r="N112" s="62">
        <f>SUMIFS('reductions data'!H:H,'reductions data'!G:G,'reasons for reduction division'!B112,'reductions data'!A:A,$N$85)</f>
        <v>0</v>
      </c>
      <c r="O112" s="105">
        <f>SUMIF('reductions data'!G:G,'reasons for reduction division'!B112,'reductions data'!H:H)</f>
        <v>0</v>
      </c>
    </row>
    <row r="113" spans="2:15" x14ac:dyDescent="0.25">
      <c r="B113" s="113" t="s">
        <v>1281</v>
      </c>
      <c r="C113" s="62">
        <f>SUMIFS('reductions data'!H:H,'reductions data'!G:G,'reasons for reduction division'!B113,'reductions data'!A:A,$C$85)</f>
        <v>0</v>
      </c>
      <c r="D113" s="62">
        <f>SUMIFS('reductions data'!H:H,'reductions data'!G:G,'reasons for reduction division'!B113,'reductions data'!A:A,$D$85)</f>
        <v>0</v>
      </c>
      <c r="E113" s="62">
        <f>SUMIFS('reductions data'!H:H,'reductions data'!G:G,'reasons for reduction division'!B113,'reductions data'!A:A,$E$85)</f>
        <v>0</v>
      </c>
      <c r="F113" s="62">
        <f>SUMIFS('reductions data'!H:H,'reductions data'!G:G,'reasons for reduction division'!B113,'reductions data'!A:A,$F$85)</f>
        <v>0</v>
      </c>
      <c r="G113" s="62">
        <f>SUMIFS('reductions data'!H:H,'reductions data'!G:G,'reasons for reduction division'!B113,'reductions data'!A:A,$G$85)</f>
        <v>0</v>
      </c>
      <c r="H113" s="62">
        <f>SUMIFS('reductions data'!H:H,'reductions data'!G:G,'reasons for reduction division'!B113,'reductions data'!A:A,$H$85)</f>
        <v>0</v>
      </c>
      <c r="I113" s="62">
        <f>SUMIFS('reductions data'!H:H,'reductions data'!G:G,'reasons for reduction division'!B113,'reductions data'!A:A,$I$85)</f>
        <v>0</v>
      </c>
      <c r="J113" s="62">
        <f>SUMIFS('reductions data'!H:H,'reductions data'!G:G,'reasons for reduction division'!B113,'reductions data'!A:A,$J$85)</f>
        <v>0</v>
      </c>
      <c r="K113" s="62">
        <f>SUMIFS('reductions data'!H:H,'reductions data'!G:G,'reasons for reduction division'!B113,'reductions data'!A:A,$K$85)</f>
        <v>0</v>
      </c>
      <c r="L113" s="62">
        <f>SUMIFS('reductions data'!H:H,'reductions data'!G:G,'reasons for reduction division'!B113,'reductions data'!A:A,$L$85)</f>
        <v>0</v>
      </c>
      <c r="M113" s="62">
        <f>SUMIFS('reductions data'!H:H,'reductions data'!G:G,'reasons for reduction division'!B113,'reductions data'!A:A,$M$85)</f>
        <v>0</v>
      </c>
      <c r="N113" s="62">
        <f>SUMIFS('reductions data'!H:H,'reductions data'!G:G,'reasons for reduction division'!B113,'reductions data'!A:A,$N$85)</f>
        <v>0</v>
      </c>
      <c r="O113" s="105">
        <f>SUMIF('reductions data'!G:G,'reasons for reduction division'!B113,'reductions data'!H:H)</f>
        <v>0</v>
      </c>
    </row>
    <row r="114" spans="2:15" x14ac:dyDescent="0.25">
      <c r="B114" s="324" t="s">
        <v>1278</v>
      </c>
      <c r="C114" s="62">
        <f>SUMIFS('reductions data'!H:H,'reductions data'!G:G,'reasons for reduction division'!B114,'reductions data'!A:A,$C$85)</f>
        <v>0</v>
      </c>
      <c r="D114" s="62">
        <f>SUMIFS('reductions data'!H:H,'reductions data'!G:G,'reasons for reduction division'!B114,'reductions data'!A:A,$D$85)</f>
        <v>0</v>
      </c>
      <c r="E114" s="62">
        <f>SUMIFS('reductions data'!H:H,'reductions data'!G:G,'reasons for reduction division'!B114,'reductions data'!A:A,$E$85)</f>
        <v>0</v>
      </c>
      <c r="F114" s="62">
        <f>SUMIFS('reductions data'!H:H,'reductions data'!G:G,'reasons for reduction division'!B114,'reductions data'!A:A,$F$85)</f>
        <v>0</v>
      </c>
      <c r="G114" s="62">
        <f>SUMIFS('reductions data'!H:H,'reductions data'!G:G,'reasons for reduction division'!B114,'reductions data'!A:A,$G$85)</f>
        <v>0</v>
      </c>
      <c r="H114" s="62">
        <f>SUMIFS('reductions data'!H:H,'reductions data'!G:G,'reasons for reduction division'!B114,'reductions data'!A:A,$H$85)</f>
        <v>0</v>
      </c>
      <c r="I114" s="62">
        <f>SUMIFS('reductions data'!H:H,'reductions data'!G:G,'reasons for reduction division'!B114,'reductions data'!A:A,$I$85)</f>
        <v>0</v>
      </c>
      <c r="J114" s="62">
        <f>SUMIFS('reductions data'!H:H,'reductions data'!G:G,'reasons for reduction division'!B114,'reductions data'!A:A,$J$85)</f>
        <v>0</v>
      </c>
      <c r="K114" s="62">
        <f>SUMIFS('reductions data'!H:H,'reductions data'!G:G,'reasons for reduction division'!B114,'reductions data'!A:A,$K$85)</f>
        <v>0</v>
      </c>
      <c r="L114" s="62">
        <f>SUMIFS('reductions data'!H:H,'reductions data'!G:G,'reasons for reduction division'!B114,'reductions data'!A:A,$L$85)</f>
        <v>0</v>
      </c>
      <c r="M114" s="62">
        <f>SUMIFS('reductions data'!H:H,'reductions data'!G:G,'reasons for reduction division'!B114,'reductions data'!A:A,$M$85)</f>
        <v>0</v>
      </c>
      <c r="N114" s="62">
        <f>SUMIFS('reductions data'!H:H,'reductions data'!G:G,'reasons for reduction division'!B114,'reductions data'!A:A,$N$85)</f>
        <v>0</v>
      </c>
      <c r="O114" s="105">
        <f>SUMIF('reductions data'!G:G,'reasons for reduction division'!B114,'reductions data'!H:H)</f>
        <v>0</v>
      </c>
    </row>
    <row r="115" spans="2:15" x14ac:dyDescent="0.25">
      <c r="B115" s="324" t="s">
        <v>1279</v>
      </c>
      <c r="C115" s="62">
        <f>SUMIFS('reductions data'!H:H,'reductions data'!G:G,'reasons for reduction division'!B115,'reductions data'!A:A,$C$85)</f>
        <v>0</v>
      </c>
      <c r="D115" s="62">
        <f>SUMIFS('reductions data'!H:H,'reductions data'!G:G,'reasons for reduction division'!B115,'reductions data'!A:A,$D$85)</f>
        <v>0</v>
      </c>
      <c r="E115" s="62">
        <f>SUMIFS('reductions data'!H:H,'reductions data'!G:G,'reasons for reduction division'!B115,'reductions data'!A:A,$E$85)</f>
        <v>0</v>
      </c>
      <c r="F115" s="62">
        <f>SUMIFS('reductions data'!H:H,'reductions data'!G:G,'reasons for reduction division'!B115,'reductions data'!A:A,$F$85)</f>
        <v>0</v>
      </c>
      <c r="G115" s="62">
        <f>SUMIFS('reductions data'!H:H,'reductions data'!G:G,'reasons for reduction division'!B115,'reductions data'!A:A,$G$85)</f>
        <v>0</v>
      </c>
      <c r="H115" s="62">
        <f>SUMIFS('reductions data'!H:H,'reductions data'!G:G,'reasons for reduction division'!B115,'reductions data'!A:A,$H$85)</f>
        <v>0</v>
      </c>
      <c r="I115" s="62">
        <f>SUMIFS('reductions data'!H:H,'reductions data'!G:G,'reasons for reduction division'!B115,'reductions data'!A:A,$I$85)</f>
        <v>0</v>
      </c>
      <c r="J115" s="62">
        <f>SUMIFS('reductions data'!H:H,'reductions data'!G:G,'reasons for reduction division'!B115,'reductions data'!A:A,$J$85)</f>
        <v>0</v>
      </c>
      <c r="K115" s="62">
        <f>SUMIFS('reductions data'!H:H,'reductions data'!G:G,'reasons for reduction division'!B115,'reductions data'!A:A,$K$85)</f>
        <v>0</v>
      </c>
      <c r="L115" s="62">
        <f>SUMIFS('reductions data'!H:H,'reductions data'!G:G,'reasons for reduction division'!B115,'reductions data'!A:A,$L$85)</f>
        <v>0</v>
      </c>
      <c r="M115" s="62">
        <f>SUMIFS('reductions data'!H:H,'reductions data'!G:G,'reasons for reduction division'!B115,'reductions data'!A:A,$M$85)</f>
        <v>0</v>
      </c>
      <c r="N115" s="62">
        <f>SUMIFS('reductions data'!H:H,'reductions data'!G:G,'reasons for reduction division'!B115,'reductions data'!A:A,$N$85)</f>
        <v>0</v>
      </c>
      <c r="O115" s="105">
        <f>SUMIF('reductions data'!G:G,'reasons for reduction division'!B115,'reductions data'!H:H)</f>
        <v>0</v>
      </c>
    </row>
    <row r="116" spans="2:15" x14ac:dyDescent="0.25">
      <c r="B116" s="324" t="s">
        <v>1288</v>
      </c>
      <c r="C116" s="62">
        <f>SUMIFS('reductions data'!H:H,'reductions data'!G:G,'reasons for reduction division'!B116,'reductions data'!A:A,$C$85)</f>
        <v>0</v>
      </c>
      <c r="D116" s="62">
        <f>SUMIFS('reductions data'!H:H,'reductions data'!G:G,'reasons for reduction division'!B116,'reductions data'!A:A,$D$85)</f>
        <v>0</v>
      </c>
      <c r="E116" s="62">
        <f>SUMIFS('reductions data'!H:H,'reductions data'!G:G,'reasons for reduction division'!B116,'reductions data'!A:A,$E$85)</f>
        <v>0</v>
      </c>
      <c r="F116" s="62">
        <f>SUMIFS('reductions data'!H:H,'reductions data'!G:G,'reasons for reduction division'!B116,'reductions data'!A:A,$F$85)</f>
        <v>0</v>
      </c>
      <c r="G116" s="62">
        <f>SUMIFS('reductions data'!H:H,'reductions data'!G:G,'reasons for reduction division'!B116,'reductions data'!A:A,$G$85)</f>
        <v>0</v>
      </c>
      <c r="H116" s="62">
        <f>SUMIFS('reductions data'!H:H,'reductions data'!G:G,'reasons for reduction division'!B116,'reductions data'!A:A,$H$85)</f>
        <v>0</v>
      </c>
      <c r="I116" s="62">
        <f>SUMIFS('reductions data'!H:H,'reductions data'!G:G,'reasons for reduction division'!B116,'reductions data'!A:A,$I$85)</f>
        <v>0</v>
      </c>
      <c r="J116" s="62">
        <f>SUMIFS('reductions data'!H:H,'reductions data'!G:G,'reasons for reduction division'!B116,'reductions data'!A:A,$J$85)</f>
        <v>0</v>
      </c>
      <c r="K116" s="62">
        <f>SUMIFS('reductions data'!H:H,'reductions data'!G:G,'reasons for reduction division'!B116,'reductions data'!A:A,$K$85)</f>
        <v>0</v>
      </c>
      <c r="L116" s="62">
        <f>SUMIFS('reductions data'!H:H,'reductions data'!G:G,'reasons for reduction division'!B116,'reductions data'!A:A,$L$85)</f>
        <v>0</v>
      </c>
      <c r="M116" s="62">
        <f>SUMIFS('reductions data'!H:H,'reductions data'!G:G,'reasons for reduction division'!B116,'reductions data'!A:A,$M$85)</f>
        <v>0</v>
      </c>
      <c r="N116" s="62">
        <f>SUMIFS('reductions data'!H:H,'reductions data'!G:G,'reasons for reduction division'!B116,'reductions data'!A:A,$N$85)</f>
        <v>0</v>
      </c>
      <c r="O116" s="105">
        <f>SUMIF('reductions data'!G:G,'reasons for reduction division'!B116,'reductions data'!H:H)</f>
        <v>0</v>
      </c>
    </row>
    <row r="117" spans="2:15" x14ac:dyDescent="0.25">
      <c r="B117" s="113" t="s">
        <v>933</v>
      </c>
      <c r="C117" s="62">
        <f>SUMIFS('reductions data'!H:H,'reductions data'!G:G,'reasons for reduction division'!B117,'reductions data'!A:A,$C$85)</f>
        <v>0</v>
      </c>
      <c r="D117" s="62">
        <f>SUMIFS('reductions data'!H:H,'reductions data'!G:G,'reasons for reduction division'!B117,'reductions data'!A:A,$D$85)</f>
        <v>0</v>
      </c>
      <c r="E117" s="62">
        <f>SUMIFS('reductions data'!H:H,'reductions data'!G:G,'reasons for reduction division'!B117,'reductions data'!A:A,$E$85)</f>
        <v>0</v>
      </c>
      <c r="F117" s="62">
        <f>SUMIFS('reductions data'!H:H,'reductions data'!G:G,'reasons for reduction division'!B117,'reductions data'!A:A,$F$85)</f>
        <v>0</v>
      </c>
      <c r="G117" s="62">
        <f>SUMIFS('reductions data'!H:H,'reductions data'!G:G,'reasons for reduction division'!B117,'reductions data'!A:A,$G$85)</f>
        <v>0</v>
      </c>
      <c r="H117" s="62">
        <f>SUMIFS('reductions data'!H:H,'reductions data'!G:G,'reasons for reduction division'!B117,'reductions data'!A:A,$H$85)</f>
        <v>0</v>
      </c>
      <c r="I117" s="62">
        <f>SUMIFS('reductions data'!H:H,'reductions data'!G:G,'reasons for reduction division'!B117,'reductions data'!A:A,$I$85)</f>
        <v>0</v>
      </c>
      <c r="J117" s="62">
        <f>SUMIFS('reductions data'!H:H,'reductions data'!G:G,'reasons for reduction division'!B117,'reductions data'!A:A,$J$85)</f>
        <v>0</v>
      </c>
      <c r="K117" s="62">
        <f>SUMIFS('reductions data'!H:H,'reductions data'!G:G,'reasons for reduction division'!B117,'reductions data'!A:A,$K$85)</f>
        <v>0</v>
      </c>
      <c r="L117" s="62">
        <f>SUMIFS('reductions data'!H:H,'reductions data'!G:G,'reasons for reduction division'!B117,'reductions data'!A:A,$L$85)</f>
        <v>0</v>
      </c>
      <c r="M117" s="62">
        <f>SUMIFS('reductions data'!H:H,'reductions data'!G:G,'reasons for reduction division'!B117,'reductions data'!A:A,$M$85)</f>
        <v>0</v>
      </c>
      <c r="N117" s="62">
        <f>SUMIFS('reductions data'!H:H,'reductions data'!G:G,'reasons for reduction division'!B117,'reductions data'!A:A,$N$85)</f>
        <v>0</v>
      </c>
      <c r="O117" s="105">
        <f>SUMIF('reductions data'!G:G,'reasons for reduction division'!B117,'reductions data'!H:H)</f>
        <v>0</v>
      </c>
    </row>
    <row r="118" spans="2:15" x14ac:dyDescent="0.25">
      <c r="B118" s="113" t="s">
        <v>938</v>
      </c>
      <c r="C118" s="62">
        <f>SUMIFS('reductions data'!H:H,'reductions data'!G:G,'reasons for reduction division'!B118,'reductions data'!A:A,$C$85)</f>
        <v>0</v>
      </c>
      <c r="D118" s="62">
        <f>SUMIFS('reductions data'!H:H,'reductions data'!G:G,'reasons for reduction division'!B118,'reductions data'!A:A,$D$85)</f>
        <v>0</v>
      </c>
      <c r="E118" s="62">
        <f>SUMIFS('reductions data'!H:H,'reductions data'!G:G,'reasons for reduction division'!B118,'reductions data'!A:A,$E$85)</f>
        <v>0</v>
      </c>
      <c r="F118" s="62">
        <f>SUMIFS('reductions data'!H:H,'reductions data'!G:G,'reasons for reduction division'!B118,'reductions data'!A:A,$F$85)</f>
        <v>0</v>
      </c>
      <c r="G118" s="62">
        <f>SUMIFS('reductions data'!H:H,'reductions data'!G:G,'reasons for reduction division'!B118,'reductions data'!A:A,$G$85)</f>
        <v>0</v>
      </c>
      <c r="H118" s="62">
        <f>SUMIFS('reductions data'!H:H,'reductions data'!G:G,'reasons for reduction division'!B118,'reductions data'!A:A,$H$85)</f>
        <v>0</v>
      </c>
      <c r="I118" s="62">
        <f>SUMIFS('reductions data'!H:H,'reductions data'!G:G,'reasons for reduction division'!B118,'reductions data'!A:A,$I$85)</f>
        <v>0</v>
      </c>
      <c r="J118" s="62">
        <f>SUMIFS('reductions data'!H:H,'reductions data'!G:G,'reasons for reduction division'!B118,'reductions data'!A:A,$J$85)</f>
        <v>0</v>
      </c>
      <c r="K118" s="62">
        <f>SUMIFS('reductions data'!H:H,'reductions data'!G:G,'reasons for reduction division'!B118,'reductions data'!A:A,$K$85)</f>
        <v>0</v>
      </c>
      <c r="L118" s="62">
        <f>SUMIFS('reductions data'!H:H,'reductions data'!G:G,'reasons for reduction division'!B118,'reductions data'!A:A,$L$85)</f>
        <v>0</v>
      </c>
      <c r="M118" s="62">
        <f>SUMIFS('reductions data'!H:H,'reductions data'!G:G,'reasons for reduction division'!B118,'reductions data'!A:A,$M$85)</f>
        <v>0</v>
      </c>
      <c r="N118" s="62">
        <f>SUMIFS('reductions data'!H:H,'reductions data'!G:G,'reasons for reduction division'!B118,'reductions data'!A:A,$N$85)</f>
        <v>0</v>
      </c>
      <c r="O118" s="105">
        <f>SUMIF('reductions data'!G:G,'reasons for reduction division'!B118,'reductions data'!H:H)</f>
        <v>0</v>
      </c>
    </row>
    <row r="119" spans="2:15" x14ac:dyDescent="0.25">
      <c r="B119" s="113" t="s">
        <v>935</v>
      </c>
      <c r="C119" s="62">
        <f>SUMIFS('reductions data'!H:H,'reductions data'!G:G,'reasons for reduction division'!B119,'reductions data'!A:A,$C$85)</f>
        <v>0</v>
      </c>
      <c r="D119" s="62">
        <f>SUMIFS('reductions data'!H:H,'reductions data'!G:G,'reasons for reduction division'!B119,'reductions data'!A:A,$D$85)</f>
        <v>0</v>
      </c>
      <c r="E119" s="62">
        <f>SUMIFS('reductions data'!H:H,'reductions data'!G:G,'reasons for reduction division'!B119,'reductions data'!A:A,$E$85)</f>
        <v>0</v>
      </c>
      <c r="F119" s="62">
        <f>SUMIFS('reductions data'!H:H,'reductions data'!G:G,'reasons for reduction division'!B119,'reductions data'!A:A,$F$85)</f>
        <v>0</v>
      </c>
      <c r="G119" s="62">
        <f>SUMIFS('reductions data'!H:H,'reductions data'!G:G,'reasons for reduction division'!B119,'reductions data'!A:A,$G$85)</f>
        <v>0</v>
      </c>
      <c r="H119" s="62">
        <f>SUMIFS('reductions data'!H:H,'reductions data'!G:G,'reasons for reduction division'!B119,'reductions data'!A:A,$H$85)</f>
        <v>0</v>
      </c>
      <c r="I119" s="62">
        <f>SUMIFS('reductions data'!H:H,'reductions data'!G:G,'reasons for reduction division'!B119,'reductions data'!A:A,$I$85)</f>
        <v>0</v>
      </c>
      <c r="J119" s="62">
        <f>SUMIFS('reductions data'!H:H,'reductions data'!G:G,'reasons for reduction division'!B119,'reductions data'!A:A,$J$85)</f>
        <v>0</v>
      </c>
      <c r="K119" s="62">
        <f>SUMIFS('reductions data'!H:H,'reductions data'!G:G,'reasons for reduction division'!B119,'reductions data'!A:A,$K$85)</f>
        <v>0</v>
      </c>
      <c r="L119" s="62">
        <f>SUMIFS('reductions data'!H:H,'reductions data'!G:G,'reasons for reduction division'!B119,'reductions data'!A:A,$L$85)</f>
        <v>0</v>
      </c>
      <c r="M119" s="62">
        <f>SUMIFS('reductions data'!H:H,'reductions data'!G:G,'reasons for reduction division'!B119,'reductions data'!A:A,$M$85)</f>
        <v>0</v>
      </c>
      <c r="N119" s="62">
        <f>SUMIFS('reductions data'!H:H,'reductions data'!G:G,'reasons for reduction division'!B119,'reductions data'!A:A,$N$85)</f>
        <v>0</v>
      </c>
      <c r="O119" s="105">
        <f>SUMIF('reductions data'!G:G,'reasons for reduction division'!B119,'reductions data'!H:H)</f>
        <v>0</v>
      </c>
    </row>
    <row r="120" spans="2:15" x14ac:dyDescent="0.25">
      <c r="B120" s="112" t="s">
        <v>1282</v>
      </c>
      <c r="C120" s="62">
        <f>SUMIFS('reductions data'!H:H,'reductions data'!G:G,'reasons for reduction division'!B120,'reductions data'!A:A,$C$85)</f>
        <v>0</v>
      </c>
      <c r="D120" s="62">
        <f>SUMIFS('reductions data'!H:H,'reductions data'!G:G,'reasons for reduction division'!B120,'reductions data'!A:A,$D$85)</f>
        <v>0</v>
      </c>
      <c r="E120" s="62">
        <f>SUMIFS('reductions data'!H:H,'reductions data'!G:G,'reasons for reduction division'!B120,'reductions data'!A:A,$E$85)</f>
        <v>0</v>
      </c>
      <c r="F120" s="62">
        <f>SUMIFS('reductions data'!H:H,'reductions data'!G:G,'reasons for reduction division'!B120,'reductions data'!A:A,$F$85)</f>
        <v>0</v>
      </c>
      <c r="G120" s="62">
        <f>SUMIFS('reductions data'!H:H,'reductions data'!G:G,'reasons for reduction division'!B120,'reductions data'!A:A,$G$85)</f>
        <v>0</v>
      </c>
      <c r="H120" s="62">
        <f>SUMIFS('reductions data'!H:H,'reductions data'!G:G,'reasons for reduction division'!B120,'reductions data'!A:A,$H$85)</f>
        <v>0</v>
      </c>
      <c r="I120" s="62">
        <f>SUMIFS('reductions data'!H:H,'reductions data'!G:G,'reasons for reduction division'!B120,'reductions data'!A:A,$I$85)</f>
        <v>0</v>
      </c>
      <c r="J120" s="62">
        <f>SUMIFS('reductions data'!H:H,'reductions data'!G:G,'reasons for reduction division'!B120,'reductions data'!A:A,$J$85)</f>
        <v>0</v>
      </c>
      <c r="K120" s="62">
        <f>SUMIFS('reductions data'!H:H,'reductions data'!G:G,'reasons for reduction division'!B120,'reductions data'!A:A,$K$85)</f>
        <v>0</v>
      </c>
      <c r="L120" s="62">
        <f>SUMIFS('reductions data'!H:H,'reductions data'!G:G,'reasons for reduction division'!B120,'reductions data'!A:A,$L$85)</f>
        <v>0</v>
      </c>
      <c r="M120" s="62">
        <f>SUMIFS('reductions data'!H:H,'reductions data'!G:G,'reasons for reduction division'!B120,'reductions data'!A:A,$M$85)</f>
        <v>0</v>
      </c>
      <c r="N120" s="62">
        <f>SUMIFS('reductions data'!H:H,'reductions data'!G:G,'reasons for reduction division'!B120,'reductions data'!A:A,$N$85)</f>
        <v>0</v>
      </c>
      <c r="O120" s="105">
        <f>SUMIF('reductions data'!G:G,'reasons for reduction division'!B120,'reductions data'!H:H)</f>
        <v>0</v>
      </c>
    </row>
    <row r="121" spans="2:15" x14ac:dyDescent="0.25">
      <c r="B121" s="113" t="s">
        <v>1283</v>
      </c>
      <c r="C121" s="62">
        <f>SUMIFS('reductions data'!H:H,'reductions data'!G:G,'reasons for reduction division'!B121,'reductions data'!A:A,$C$85)</f>
        <v>0</v>
      </c>
      <c r="D121" s="62">
        <f>SUMIFS('reductions data'!H:H,'reductions data'!G:G,'reasons for reduction division'!B121,'reductions data'!A:A,$D$85)</f>
        <v>0</v>
      </c>
      <c r="E121" s="62">
        <f>SUMIFS('reductions data'!H:H,'reductions data'!G:G,'reasons for reduction division'!B121,'reductions data'!A:A,$E$85)</f>
        <v>0</v>
      </c>
      <c r="F121" s="62">
        <f>SUMIFS('reductions data'!H:H,'reductions data'!G:G,'reasons for reduction division'!B121,'reductions data'!A:A,$F$85)</f>
        <v>0</v>
      </c>
      <c r="G121" s="62">
        <f>SUMIFS('reductions data'!H:H,'reductions data'!G:G,'reasons for reduction division'!B121,'reductions data'!A:A,$G$85)</f>
        <v>0</v>
      </c>
      <c r="H121" s="62">
        <f>SUMIFS('reductions data'!H:H,'reductions data'!G:G,'reasons for reduction division'!B121,'reductions data'!A:A,$H$85)</f>
        <v>0</v>
      </c>
      <c r="I121" s="62">
        <f>SUMIFS('reductions data'!H:H,'reductions data'!G:G,'reasons for reduction division'!B121,'reductions data'!A:A,$I$85)</f>
        <v>0</v>
      </c>
      <c r="J121" s="62">
        <f>SUMIFS('reductions data'!H:H,'reductions data'!G:G,'reasons for reduction division'!B121,'reductions data'!A:A,$J$85)</f>
        <v>0</v>
      </c>
      <c r="K121" s="62">
        <f>SUMIFS('reductions data'!H:H,'reductions data'!G:G,'reasons for reduction division'!B121,'reductions data'!A:A,$K$85)</f>
        <v>0</v>
      </c>
      <c r="L121" s="62">
        <f>SUMIFS('reductions data'!H:H,'reductions data'!G:G,'reasons for reduction division'!B121,'reductions data'!A:A,$L$85)</f>
        <v>0</v>
      </c>
      <c r="M121" s="62">
        <f>SUMIFS('reductions data'!H:H,'reductions data'!G:G,'reasons for reduction division'!B121,'reductions data'!A:A,$M$85)</f>
        <v>0</v>
      </c>
      <c r="N121" s="62">
        <f>SUMIFS('reductions data'!H:H,'reductions data'!G:G,'reasons for reduction division'!B121,'reductions data'!A:A,$N$85)</f>
        <v>0</v>
      </c>
      <c r="O121" s="105">
        <f>SUMIF('reductions data'!G:G,'reasons for reduction division'!B121,'reductions data'!H:H)</f>
        <v>0</v>
      </c>
    </row>
    <row r="122" spans="2:15" x14ac:dyDescent="0.25">
      <c r="B122" s="113" t="s">
        <v>939</v>
      </c>
      <c r="C122" s="62">
        <f>SUMIFS('reductions data'!H:H,'reductions data'!G:G,'reasons for reduction division'!B122,'reductions data'!A:A,$C$85)</f>
        <v>0</v>
      </c>
      <c r="D122" s="62">
        <f>SUMIFS('reductions data'!H:H,'reductions data'!G:G,'reasons for reduction division'!B122,'reductions data'!A:A,$D$85)</f>
        <v>0</v>
      </c>
      <c r="E122" s="62">
        <f>SUMIFS('reductions data'!H:H,'reductions data'!G:G,'reasons for reduction division'!B122,'reductions data'!A:A,$E$85)</f>
        <v>0</v>
      </c>
      <c r="F122" s="62">
        <f>SUMIFS('reductions data'!H:H,'reductions data'!G:G,'reasons for reduction division'!B122,'reductions data'!A:A,$F$85)</f>
        <v>0</v>
      </c>
      <c r="G122" s="62">
        <f>SUMIFS('reductions data'!H:H,'reductions data'!G:G,'reasons for reduction division'!B122,'reductions data'!A:A,$G$85)</f>
        <v>0</v>
      </c>
      <c r="H122" s="62">
        <f>SUMIFS('reductions data'!H:H,'reductions data'!G:G,'reasons for reduction division'!B122,'reductions data'!A:A,$H$85)</f>
        <v>0</v>
      </c>
      <c r="I122" s="62">
        <f>SUMIFS('reductions data'!H:H,'reductions data'!G:G,'reasons for reduction division'!B122,'reductions data'!A:A,$I$85)</f>
        <v>0</v>
      </c>
      <c r="J122" s="62">
        <f>SUMIFS('reductions data'!H:H,'reductions data'!G:G,'reasons for reduction division'!B122,'reductions data'!A:A,$J$85)</f>
        <v>0</v>
      </c>
      <c r="K122" s="62">
        <f>SUMIFS('reductions data'!H:H,'reductions data'!G:G,'reasons for reduction division'!B122,'reductions data'!A:A,$K$85)</f>
        <v>0</v>
      </c>
      <c r="L122" s="62">
        <f>SUMIFS('reductions data'!H:H,'reductions data'!G:G,'reasons for reduction division'!B122,'reductions data'!A:A,$L$85)</f>
        <v>0</v>
      </c>
      <c r="M122" s="62">
        <f>SUMIFS('reductions data'!H:H,'reductions data'!G:G,'reasons for reduction division'!B122,'reductions data'!A:A,$M$85)</f>
        <v>0</v>
      </c>
      <c r="N122" s="62">
        <f>SUMIFS('reductions data'!H:H,'reductions data'!G:G,'reasons for reduction division'!B122,'reductions data'!A:A,$N$85)</f>
        <v>0</v>
      </c>
      <c r="O122" s="105">
        <f>SUMIF('reductions data'!G:G,'reasons for reduction division'!B122,'reductions data'!H:H)</f>
        <v>0</v>
      </c>
    </row>
    <row r="123" spans="2:15" x14ac:dyDescent="0.25">
      <c r="B123" s="113" t="s">
        <v>940</v>
      </c>
      <c r="C123" s="62">
        <f>SUMIFS('reductions data'!H:H,'reductions data'!G:G,'reasons for reduction division'!B123,'reductions data'!A:A,$C$85)</f>
        <v>0</v>
      </c>
      <c r="D123" s="62">
        <f>SUMIFS('reductions data'!H:H,'reductions data'!G:G,'reasons for reduction division'!B123,'reductions data'!A:A,$D$85)</f>
        <v>0</v>
      </c>
      <c r="E123" s="62">
        <f>SUMIFS('reductions data'!H:H,'reductions data'!G:G,'reasons for reduction division'!B123,'reductions data'!A:A,$E$85)</f>
        <v>0</v>
      </c>
      <c r="F123" s="62">
        <f>SUMIFS('reductions data'!H:H,'reductions data'!G:G,'reasons for reduction division'!B123,'reductions data'!A:A,$F$85)</f>
        <v>0</v>
      </c>
      <c r="G123" s="62">
        <f>SUMIFS('reductions data'!H:H,'reductions data'!G:G,'reasons for reduction division'!B123,'reductions data'!A:A,$G$85)</f>
        <v>0</v>
      </c>
      <c r="H123" s="62">
        <f>SUMIFS('reductions data'!H:H,'reductions data'!G:G,'reasons for reduction division'!B123,'reductions data'!A:A,$H$85)</f>
        <v>0</v>
      </c>
      <c r="I123" s="62">
        <f>SUMIFS('reductions data'!H:H,'reductions data'!G:G,'reasons for reduction division'!B123,'reductions data'!A:A,$I$85)</f>
        <v>0</v>
      </c>
      <c r="J123" s="62">
        <f>SUMIFS('reductions data'!H:H,'reductions data'!G:G,'reasons for reduction division'!B123,'reductions data'!A:A,$J$85)</f>
        <v>0</v>
      </c>
      <c r="K123" s="62">
        <f>SUMIFS('reductions data'!H:H,'reductions data'!G:G,'reasons for reduction division'!B123,'reductions data'!A:A,$K$85)</f>
        <v>0</v>
      </c>
      <c r="L123" s="62">
        <f>SUMIFS('reductions data'!H:H,'reductions data'!G:G,'reasons for reduction division'!B123,'reductions data'!A:A,$L$85)</f>
        <v>0</v>
      </c>
      <c r="M123" s="62">
        <f>SUMIFS('reductions data'!H:H,'reductions data'!G:G,'reasons for reduction division'!B123,'reductions data'!A:A,$M$85)</f>
        <v>0</v>
      </c>
      <c r="N123" s="62">
        <f>SUMIFS('reductions data'!H:H,'reductions data'!G:G,'reasons for reduction division'!B123,'reductions data'!A:A,$N$85)</f>
        <v>0</v>
      </c>
      <c r="O123" s="105">
        <f>SUMIF('reductions data'!G:G,'reasons for reduction division'!B123,'reductions data'!H:H)</f>
        <v>0</v>
      </c>
    </row>
    <row r="124" spans="2:15" x14ac:dyDescent="0.25">
      <c r="B124" s="113" t="s">
        <v>941</v>
      </c>
      <c r="C124" s="62">
        <f>SUMIFS('reductions data'!H:H,'reductions data'!G:G,'reasons for reduction division'!B124,'reductions data'!A:A,$C$85)</f>
        <v>0</v>
      </c>
      <c r="D124" s="62">
        <f>SUMIFS('reductions data'!H:H,'reductions data'!G:G,'reasons for reduction division'!B124,'reductions data'!A:A,$D$85)</f>
        <v>0</v>
      </c>
      <c r="E124" s="62">
        <f>SUMIFS('reductions data'!H:H,'reductions data'!G:G,'reasons for reduction division'!B124,'reductions data'!A:A,$E$85)</f>
        <v>0</v>
      </c>
      <c r="F124" s="62">
        <f>SUMIFS('reductions data'!H:H,'reductions data'!G:G,'reasons for reduction division'!B124,'reductions data'!A:A,$F$85)</f>
        <v>0</v>
      </c>
      <c r="G124" s="62">
        <f>SUMIFS('reductions data'!H:H,'reductions data'!G:G,'reasons for reduction division'!B124,'reductions data'!A:A,$G$85)</f>
        <v>0</v>
      </c>
      <c r="H124" s="62">
        <f>SUMIFS('reductions data'!H:H,'reductions data'!G:G,'reasons for reduction division'!B124,'reductions data'!A:A,$H$85)</f>
        <v>0</v>
      </c>
      <c r="I124" s="62">
        <f>SUMIFS('reductions data'!H:H,'reductions data'!G:G,'reasons for reduction division'!B124,'reductions data'!A:A,$I$85)</f>
        <v>0</v>
      </c>
      <c r="J124" s="62">
        <f>SUMIFS('reductions data'!H:H,'reductions data'!G:G,'reasons for reduction division'!B124,'reductions data'!A:A,$J$85)</f>
        <v>0</v>
      </c>
      <c r="K124" s="62">
        <f>SUMIFS('reductions data'!H:H,'reductions data'!G:G,'reasons for reduction division'!B124,'reductions data'!A:A,$K$85)</f>
        <v>0</v>
      </c>
      <c r="L124" s="62">
        <f>SUMIFS('reductions data'!H:H,'reductions data'!G:G,'reasons for reduction division'!B124,'reductions data'!A:A,$L$85)</f>
        <v>0</v>
      </c>
      <c r="M124" s="62">
        <f>SUMIFS('reductions data'!H:H,'reductions data'!G:G,'reasons for reduction division'!B124,'reductions data'!A:A,$M$85)</f>
        <v>0</v>
      </c>
      <c r="N124" s="62">
        <f>SUMIFS('reductions data'!H:H,'reductions data'!G:G,'reasons for reduction division'!B124,'reductions data'!A:A,$N$85)</f>
        <v>0</v>
      </c>
      <c r="O124" s="105">
        <f>SUMIF('reductions data'!G:G,'reasons for reduction division'!B124,'reductions data'!H:H)</f>
        <v>0</v>
      </c>
    </row>
    <row r="125" spans="2:15" x14ac:dyDescent="0.25">
      <c r="B125" s="113" t="s">
        <v>942</v>
      </c>
      <c r="C125" s="62">
        <f>SUMIFS('reductions data'!H:H,'reductions data'!G:G,'reasons for reduction division'!B125,'reductions data'!A:A,$C$85)</f>
        <v>0</v>
      </c>
      <c r="D125" s="62">
        <f>SUMIFS('reductions data'!H:H,'reductions data'!G:G,'reasons for reduction division'!B125,'reductions data'!A:A,$D$85)</f>
        <v>0</v>
      </c>
      <c r="E125" s="62">
        <f>SUMIFS('reductions data'!H:H,'reductions data'!G:G,'reasons for reduction division'!B125,'reductions data'!A:A,$E$85)</f>
        <v>0</v>
      </c>
      <c r="F125" s="62">
        <f>SUMIFS('reductions data'!H:H,'reductions data'!G:G,'reasons for reduction division'!B125,'reductions data'!A:A,$F$85)</f>
        <v>0</v>
      </c>
      <c r="G125" s="62">
        <f>SUMIFS('reductions data'!H:H,'reductions data'!G:G,'reasons for reduction division'!B125,'reductions data'!A:A,$G$85)</f>
        <v>0</v>
      </c>
      <c r="H125" s="62">
        <f>SUMIFS('reductions data'!H:H,'reductions data'!G:G,'reasons for reduction division'!B125,'reductions data'!A:A,$H$85)</f>
        <v>0</v>
      </c>
      <c r="I125" s="62">
        <f>SUMIFS('reductions data'!H:H,'reductions data'!G:G,'reasons for reduction division'!B125,'reductions data'!A:A,$I$85)</f>
        <v>0</v>
      </c>
      <c r="J125" s="62">
        <f>SUMIFS('reductions data'!H:H,'reductions data'!G:G,'reasons for reduction division'!B125,'reductions data'!A:A,$J$85)</f>
        <v>0</v>
      </c>
      <c r="K125" s="62">
        <f>SUMIFS('reductions data'!H:H,'reductions data'!G:G,'reasons for reduction division'!B125,'reductions data'!A:A,$K$85)</f>
        <v>0</v>
      </c>
      <c r="L125" s="62">
        <f>SUMIFS('reductions data'!H:H,'reductions data'!G:G,'reasons for reduction division'!B125,'reductions data'!A:A,$L$85)</f>
        <v>0</v>
      </c>
      <c r="M125" s="62">
        <f>SUMIFS('reductions data'!H:H,'reductions data'!G:G,'reasons for reduction division'!B125,'reductions data'!A:A,$M$85)</f>
        <v>0</v>
      </c>
      <c r="N125" s="62">
        <f>SUMIFS('reductions data'!H:H,'reductions data'!G:G,'reasons for reduction division'!B125,'reductions data'!A:A,$N$85)</f>
        <v>0</v>
      </c>
      <c r="O125" s="105">
        <f>SUMIF('reductions data'!G:G,'reasons for reduction division'!B125,'reductions data'!H:H)</f>
        <v>0</v>
      </c>
    </row>
    <row r="126" spans="2:15" x14ac:dyDescent="0.25">
      <c r="B126" s="113" t="s">
        <v>943</v>
      </c>
      <c r="C126" s="62">
        <f>SUMIFS('reductions data'!H:H,'reductions data'!G:G,'reasons for reduction division'!B126,'reductions data'!A:A,$C$85)</f>
        <v>0</v>
      </c>
      <c r="D126" s="62">
        <f>SUMIFS('reductions data'!H:H,'reductions data'!G:G,'reasons for reduction division'!B126,'reductions data'!A:A,$D$85)</f>
        <v>0</v>
      </c>
      <c r="E126" s="62">
        <f>SUMIFS('reductions data'!H:H,'reductions data'!G:G,'reasons for reduction division'!B126,'reductions data'!A:A,$E$85)</f>
        <v>0</v>
      </c>
      <c r="F126" s="62">
        <f>SUMIFS('reductions data'!H:H,'reductions data'!G:G,'reasons for reduction division'!B126,'reductions data'!A:A,$F$85)</f>
        <v>0</v>
      </c>
      <c r="G126" s="62">
        <f>SUMIFS('reductions data'!H:H,'reductions data'!G:G,'reasons for reduction division'!B126,'reductions data'!A:A,$G$85)</f>
        <v>0</v>
      </c>
      <c r="H126" s="62">
        <f>SUMIFS('reductions data'!H:H,'reductions data'!G:G,'reasons for reduction division'!B126,'reductions data'!A:A,$H$85)</f>
        <v>0</v>
      </c>
      <c r="I126" s="62">
        <f>SUMIFS('reductions data'!H:H,'reductions data'!G:G,'reasons for reduction division'!B126,'reductions data'!A:A,$I$85)</f>
        <v>0</v>
      </c>
      <c r="J126" s="62">
        <f>SUMIFS('reductions data'!H:H,'reductions data'!G:G,'reasons for reduction division'!B126,'reductions data'!A:A,$J$85)</f>
        <v>0</v>
      </c>
      <c r="K126" s="62">
        <f>SUMIFS('reductions data'!H:H,'reductions data'!G:G,'reasons for reduction division'!B126,'reductions data'!A:A,$K$85)</f>
        <v>0</v>
      </c>
      <c r="L126" s="62">
        <f>SUMIFS('reductions data'!H:H,'reductions data'!G:G,'reasons for reduction division'!B126,'reductions data'!A:A,$L$85)</f>
        <v>0</v>
      </c>
      <c r="M126" s="62">
        <f>SUMIFS('reductions data'!H:H,'reductions data'!G:G,'reasons for reduction division'!B126,'reductions data'!A:A,$M$85)</f>
        <v>0</v>
      </c>
      <c r="N126" s="62">
        <f>SUMIFS('reductions data'!H:H,'reductions data'!G:G,'reasons for reduction division'!B126,'reductions data'!A:A,$N$85)</f>
        <v>0</v>
      </c>
      <c r="O126" s="105">
        <f>SUMIF('reductions data'!G:G,'reasons for reduction division'!B126,'reductions data'!H:H)</f>
        <v>0</v>
      </c>
    </row>
    <row r="127" spans="2:15" x14ac:dyDescent="0.25">
      <c r="B127" s="113" t="s">
        <v>944</v>
      </c>
      <c r="C127" s="62">
        <f>SUMIFS('reductions data'!H:H,'reductions data'!G:G,'reasons for reduction division'!B127,'reductions data'!A:A,$C$85)</f>
        <v>0</v>
      </c>
      <c r="D127" s="62">
        <f>SUMIFS('reductions data'!H:H,'reductions data'!G:G,'reasons for reduction division'!B127,'reductions data'!A:A,$D$85)</f>
        <v>0</v>
      </c>
      <c r="E127" s="62">
        <f>SUMIFS('reductions data'!H:H,'reductions data'!G:G,'reasons for reduction division'!B127,'reductions data'!A:A,$E$85)</f>
        <v>0</v>
      </c>
      <c r="F127" s="62">
        <f>SUMIFS('reductions data'!H:H,'reductions data'!G:G,'reasons for reduction division'!B127,'reductions data'!A:A,$F$85)</f>
        <v>0</v>
      </c>
      <c r="G127" s="62">
        <f>SUMIFS('reductions data'!H:H,'reductions data'!G:G,'reasons for reduction division'!B127,'reductions data'!A:A,$G$85)</f>
        <v>0</v>
      </c>
      <c r="H127" s="62">
        <f>SUMIFS('reductions data'!H:H,'reductions data'!G:G,'reasons for reduction division'!B127,'reductions data'!A:A,$H$85)</f>
        <v>0</v>
      </c>
      <c r="I127" s="62">
        <f>SUMIFS('reductions data'!H:H,'reductions data'!G:G,'reasons for reduction division'!B127,'reductions data'!A:A,$I$85)</f>
        <v>0</v>
      </c>
      <c r="J127" s="62">
        <f>SUMIFS('reductions data'!H:H,'reductions data'!G:G,'reasons for reduction division'!B127,'reductions data'!A:A,$J$85)</f>
        <v>0</v>
      </c>
      <c r="K127" s="62">
        <f>SUMIFS('reductions data'!H:H,'reductions data'!G:G,'reasons for reduction division'!B127,'reductions data'!A:A,$K$85)</f>
        <v>0</v>
      </c>
      <c r="L127" s="62">
        <f>SUMIFS('reductions data'!H:H,'reductions data'!G:G,'reasons for reduction division'!B127,'reductions data'!A:A,$L$85)</f>
        <v>0</v>
      </c>
      <c r="M127" s="62">
        <f>SUMIFS('reductions data'!H:H,'reductions data'!G:G,'reasons for reduction division'!B127,'reductions data'!A:A,$M$85)</f>
        <v>0</v>
      </c>
      <c r="N127" s="62">
        <f>SUMIFS('reductions data'!H:H,'reductions data'!G:G,'reasons for reduction division'!B127,'reductions data'!A:A,$N$85)</f>
        <v>0</v>
      </c>
      <c r="O127" s="105">
        <f>SUMIF('reductions data'!G:G,'reasons for reduction division'!B127,'reductions data'!H:H)</f>
        <v>0</v>
      </c>
    </row>
    <row r="128" spans="2:15" x14ac:dyDescent="0.25">
      <c r="B128" s="113" t="s">
        <v>931</v>
      </c>
      <c r="C128" s="62">
        <f>SUMIFS('reductions data'!H:H,'reductions data'!G:G,'reasons for reduction division'!B128,'reductions data'!A:A,$C$85)</f>
        <v>0</v>
      </c>
      <c r="D128" s="62">
        <f>SUMIFS('reductions data'!H:H,'reductions data'!G:G,'reasons for reduction division'!B128,'reductions data'!A:A,$D$85)</f>
        <v>0</v>
      </c>
      <c r="E128" s="62">
        <f>SUMIFS('reductions data'!H:H,'reductions data'!G:G,'reasons for reduction division'!B128,'reductions data'!A:A,$E$85)</f>
        <v>0</v>
      </c>
      <c r="F128" s="62">
        <f>SUMIFS('reductions data'!H:H,'reductions data'!G:G,'reasons for reduction division'!B128,'reductions data'!A:A,$F$85)</f>
        <v>0</v>
      </c>
      <c r="G128" s="62">
        <f>SUMIFS('reductions data'!H:H,'reductions data'!G:G,'reasons for reduction division'!B128,'reductions data'!A:A,$G$85)</f>
        <v>0</v>
      </c>
      <c r="H128" s="62">
        <f>SUMIFS('reductions data'!H:H,'reductions data'!G:G,'reasons for reduction division'!B128,'reductions data'!A:A,$H$85)</f>
        <v>0</v>
      </c>
      <c r="I128" s="62">
        <f>SUMIFS('reductions data'!H:H,'reductions data'!G:G,'reasons for reduction division'!B128,'reductions data'!A:A,$I$85)</f>
        <v>0</v>
      </c>
      <c r="J128" s="62">
        <f>SUMIFS('reductions data'!H:H,'reductions data'!G:G,'reasons for reduction division'!B128,'reductions data'!A:A,$J$85)</f>
        <v>0</v>
      </c>
      <c r="K128" s="62">
        <f>SUMIFS('reductions data'!H:H,'reductions data'!G:G,'reasons for reduction division'!B128,'reductions data'!A:A,$K$85)</f>
        <v>0</v>
      </c>
      <c r="L128" s="62">
        <f>SUMIFS('reductions data'!H:H,'reductions data'!G:G,'reasons for reduction division'!B128,'reductions data'!A:A,$L$85)</f>
        <v>0</v>
      </c>
      <c r="M128" s="62">
        <f>SUMIFS('reductions data'!H:H,'reductions data'!G:G,'reasons for reduction division'!B128,'reductions data'!A:A,$M$85)</f>
        <v>0</v>
      </c>
      <c r="N128" s="62">
        <f>SUMIFS('reductions data'!H:H,'reductions data'!G:G,'reasons for reduction division'!B128,'reductions data'!A:A,$N$85)</f>
        <v>0</v>
      </c>
      <c r="O128" s="105">
        <f>SUMIF('reductions data'!G:G,'reasons for reduction division'!B128,'reductions data'!H:H)</f>
        <v>0</v>
      </c>
    </row>
    <row r="129" spans="2:15" x14ac:dyDescent="0.25">
      <c r="B129" s="113" t="s">
        <v>945</v>
      </c>
      <c r="C129" s="62">
        <f>SUMIFS('reductions data'!H:H,'reductions data'!G:G,'reasons for reduction division'!B129,'reductions data'!A:A,$C$85)</f>
        <v>0</v>
      </c>
      <c r="D129" s="62">
        <f>SUMIFS('reductions data'!H:H,'reductions data'!G:G,'reasons for reduction division'!B129,'reductions data'!A:A,$D$85)</f>
        <v>0</v>
      </c>
      <c r="E129" s="62">
        <f>SUMIFS('reductions data'!H:H,'reductions data'!G:G,'reasons for reduction division'!B129,'reductions data'!A:A,$E$85)</f>
        <v>0</v>
      </c>
      <c r="F129" s="62">
        <f>SUMIFS('reductions data'!H:H,'reductions data'!G:G,'reasons for reduction division'!B129,'reductions data'!A:A,$F$85)</f>
        <v>0</v>
      </c>
      <c r="G129" s="62">
        <f>SUMIFS('reductions data'!H:H,'reductions data'!G:G,'reasons for reduction division'!B129,'reductions data'!A:A,$G$85)</f>
        <v>0</v>
      </c>
      <c r="H129" s="62">
        <f>SUMIFS('reductions data'!H:H,'reductions data'!G:G,'reasons for reduction division'!B129,'reductions data'!A:A,$H$85)</f>
        <v>0</v>
      </c>
      <c r="I129" s="62">
        <f>SUMIFS('reductions data'!H:H,'reductions data'!G:G,'reasons for reduction division'!B129,'reductions data'!A:A,$I$85)</f>
        <v>0</v>
      </c>
      <c r="J129" s="62">
        <f>SUMIFS('reductions data'!H:H,'reductions data'!G:G,'reasons for reduction division'!B129,'reductions data'!A:A,$J$85)</f>
        <v>0</v>
      </c>
      <c r="K129" s="62">
        <f>SUMIFS('reductions data'!H:H,'reductions data'!G:G,'reasons for reduction division'!B129,'reductions data'!A:A,$K$85)</f>
        <v>0</v>
      </c>
      <c r="L129" s="62">
        <f>SUMIFS('reductions data'!H:H,'reductions data'!G:G,'reasons for reduction division'!B129,'reductions data'!A:A,$L$85)</f>
        <v>0</v>
      </c>
      <c r="M129" s="62">
        <f>SUMIFS('reductions data'!H:H,'reductions data'!G:G,'reasons for reduction division'!B129,'reductions data'!A:A,$M$85)</f>
        <v>0</v>
      </c>
      <c r="N129" s="62">
        <f>SUMIFS('reductions data'!H:H,'reductions data'!G:G,'reasons for reduction division'!B129,'reductions data'!A:A,$N$85)</f>
        <v>0</v>
      </c>
      <c r="O129" s="105">
        <f>SUMIF('reductions data'!G:G,'reasons for reduction division'!B129,'reductions data'!H:H)</f>
        <v>0</v>
      </c>
    </row>
    <row r="130" spans="2:15" x14ac:dyDescent="0.25">
      <c r="B130" s="113" t="s">
        <v>946</v>
      </c>
      <c r="C130" s="62">
        <f>SUMIFS('reductions data'!H:H,'reductions data'!G:G,'reasons for reduction division'!B130,'reductions data'!A:A,$C$85)</f>
        <v>0</v>
      </c>
      <c r="D130" s="62">
        <f>SUMIFS('reductions data'!H:H,'reductions data'!G:G,'reasons for reduction division'!B130,'reductions data'!A:A,$D$85)</f>
        <v>0</v>
      </c>
      <c r="E130" s="62">
        <f>SUMIFS('reductions data'!H:H,'reductions data'!G:G,'reasons for reduction division'!B130,'reductions data'!A:A,$E$85)</f>
        <v>0</v>
      </c>
      <c r="F130" s="62">
        <f>SUMIFS('reductions data'!H:H,'reductions data'!G:G,'reasons for reduction division'!B130,'reductions data'!A:A,$F$85)</f>
        <v>0</v>
      </c>
      <c r="G130" s="62">
        <f>SUMIFS('reductions data'!H:H,'reductions data'!G:G,'reasons for reduction division'!B130,'reductions data'!A:A,$G$85)</f>
        <v>0</v>
      </c>
      <c r="H130" s="62">
        <f>SUMIFS('reductions data'!H:H,'reductions data'!G:G,'reasons for reduction division'!B130,'reductions data'!A:A,$H$85)</f>
        <v>0</v>
      </c>
      <c r="I130" s="62">
        <f>SUMIFS('reductions data'!H:H,'reductions data'!G:G,'reasons for reduction division'!B130,'reductions data'!A:A,$I$85)</f>
        <v>0</v>
      </c>
      <c r="J130" s="62">
        <f>SUMIFS('reductions data'!H:H,'reductions data'!G:G,'reasons for reduction division'!B130,'reductions data'!A:A,$J$85)</f>
        <v>0</v>
      </c>
      <c r="K130" s="62">
        <f>SUMIFS('reductions data'!H:H,'reductions data'!G:G,'reasons for reduction division'!B130,'reductions data'!A:A,$K$85)</f>
        <v>0</v>
      </c>
      <c r="L130" s="62">
        <f>SUMIFS('reductions data'!H:H,'reductions data'!G:G,'reasons for reduction division'!B130,'reductions data'!A:A,$L$85)</f>
        <v>0</v>
      </c>
      <c r="M130" s="62">
        <f>SUMIFS('reductions data'!H:H,'reductions data'!G:G,'reasons for reduction division'!B130,'reductions data'!A:A,$M$85)</f>
        <v>0</v>
      </c>
      <c r="N130" s="62">
        <f>SUMIFS('reductions data'!H:H,'reductions data'!G:G,'reasons for reduction division'!B130,'reductions data'!A:A,$N$85)</f>
        <v>0</v>
      </c>
      <c r="O130" s="105">
        <f>SUMIF('reductions data'!G:G,'reasons for reduction division'!B130,'reductions data'!H:H)</f>
        <v>0</v>
      </c>
    </row>
    <row r="131" spans="2:15" x14ac:dyDescent="0.25">
      <c r="B131" s="113" t="s">
        <v>947</v>
      </c>
      <c r="C131" s="62">
        <f>SUMIFS('reductions data'!H:H,'reductions data'!G:G,'reasons for reduction division'!B131,'reductions data'!A:A,$C$85)</f>
        <v>0</v>
      </c>
      <c r="D131" s="62">
        <f>SUMIFS('reductions data'!H:H,'reductions data'!G:G,'reasons for reduction division'!B131,'reductions data'!A:A,$D$85)</f>
        <v>0</v>
      </c>
      <c r="E131" s="62">
        <f>SUMIFS('reductions data'!H:H,'reductions data'!G:G,'reasons for reduction division'!B131,'reductions data'!A:A,$E$85)</f>
        <v>0</v>
      </c>
      <c r="F131" s="62">
        <f>SUMIFS('reductions data'!H:H,'reductions data'!G:G,'reasons for reduction division'!B131,'reductions data'!A:A,$F$85)</f>
        <v>0</v>
      </c>
      <c r="G131" s="62">
        <f>SUMIFS('reductions data'!H:H,'reductions data'!G:G,'reasons for reduction division'!B131,'reductions data'!A:A,$G$85)</f>
        <v>0</v>
      </c>
      <c r="H131" s="62">
        <f>SUMIFS('reductions data'!H:H,'reductions data'!G:G,'reasons for reduction division'!B131,'reductions data'!A:A,$H$85)</f>
        <v>0</v>
      </c>
      <c r="I131" s="62">
        <f>SUMIFS('reductions data'!H:H,'reductions data'!G:G,'reasons for reduction division'!B131,'reductions data'!A:A,$I$85)</f>
        <v>0</v>
      </c>
      <c r="J131" s="62">
        <f>SUMIFS('reductions data'!H:H,'reductions data'!G:G,'reasons for reduction division'!B131,'reductions data'!A:A,$J$85)</f>
        <v>0</v>
      </c>
      <c r="K131" s="62">
        <f>SUMIFS('reductions data'!H:H,'reductions data'!G:G,'reasons for reduction division'!B131,'reductions data'!A:A,$K$85)</f>
        <v>0</v>
      </c>
      <c r="L131" s="62">
        <f>SUMIFS('reductions data'!H:H,'reductions data'!G:G,'reasons for reduction division'!B131,'reductions data'!A:A,$L$85)</f>
        <v>0</v>
      </c>
      <c r="M131" s="62">
        <f>SUMIFS('reductions data'!H:H,'reductions data'!G:G,'reasons for reduction division'!B131,'reductions data'!A:A,$M$85)</f>
        <v>0</v>
      </c>
      <c r="N131" s="62">
        <f>SUMIFS('reductions data'!H:H,'reductions data'!G:G,'reasons for reduction division'!B131,'reductions data'!A:A,$N$85)</f>
        <v>0</v>
      </c>
      <c r="O131" s="105">
        <f>SUMIF('reductions data'!G:G,'reasons for reduction division'!B131,'reductions data'!H:H)</f>
        <v>0</v>
      </c>
    </row>
    <row r="132" spans="2:15" x14ac:dyDescent="0.25">
      <c r="B132" s="113" t="s">
        <v>948</v>
      </c>
      <c r="C132" s="62">
        <f>SUMIFS('reductions data'!H:H,'reductions data'!G:G,'reasons for reduction division'!B132,'reductions data'!A:A,$C$85)</f>
        <v>0</v>
      </c>
      <c r="D132" s="62">
        <f>SUMIFS('reductions data'!H:H,'reductions data'!G:G,'reasons for reduction division'!B132,'reductions data'!A:A,$D$85)</f>
        <v>0</v>
      </c>
      <c r="E132" s="62">
        <f>SUMIFS('reductions data'!H:H,'reductions data'!G:G,'reasons for reduction division'!B132,'reductions data'!A:A,$E$85)</f>
        <v>0</v>
      </c>
      <c r="F132" s="62">
        <f>SUMIFS('reductions data'!H:H,'reductions data'!G:G,'reasons for reduction division'!B132,'reductions data'!A:A,$F$85)</f>
        <v>0</v>
      </c>
      <c r="G132" s="62">
        <f>SUMIFS('reductions data'!H:H,'reductions data'!G:G,'reasons for reduction division'!B132,'reductions data'!A:A,$G$85)</f>
        <v>0</v>
      </c>
      <c r="H132" s="62">
        <f>SUMIFS('reductions data'!H:H,'reductions data'!G:G,'reasons for reduction division'!B132,'reductions data'!A:A,$H$85)</f>
        <v>0</v>
      </c>
      <c r="I132" s="62">
        <f>SUMIFS('reductions data'!H:H,'reductions data'!G:G,'reasons for reduction division'!B132,'reductions data'!A:A,$I$85)</f>
        <v>0</v>
      </c>
      <c r="J132" s="62">
        <f>SUMIFS('reductions data'!H:H,'reductions data'!G:G,'reasons for reduction division'!B132,'reductions data'!A:A,$J$85)</f>
        <v>0</v>
      </c>
      <c r="K132" s="62">
        <f>SUMIFS('reductions data'!H:H,'reductions data'!G:G,'reasons for reduction division'!B132,'reductions data'!A:A,$K$85)</f>
        <v>0</v>
      </c>
      <c r="L132" s="62">
        <f>SUMIFS('reductions data'!H:H,'reductions data'!G:G,'reasons for reduction division'!B132,'reductions data'!A:A,$L$85)</f>
        <v>0</v>
      </c>
      <c r="M132" s="62">
        <f>SUMIFS('reductions data'!H:H,'reductions data'!G:G,'reasons for reduction division'!B132,'reductions data'!A:A,$M$85)</f>
        <v>0</v>
      </c>
      <c r="N132" s="62">
        <f>SUMIFS('reductions data'!H:H,'reductions data'!G:G,'reasons for reduction division'!B132,'reductions data'!A:A,$N$85)</f>
        <v>0</v>
      </c>
      <c r="O132" s="105">
        <f>SUMIF('reductions data'!G:G,'reasons for reduction division'!B132,'reductions data'!H:H)</f>
        <v>0</v>
      </c>
    </row>
    <row r="133" spans="2:15" x14ac:dyDescent="0.25">
      <c r="B133" s="113" t="s">
        <v>949</v>
      </c>
      <c r="C133" s="62">
        <f>SUMIFS('reductions data'!H:H,'reductions data'!G:G,'reasons for reduction division'!B133,'reductions data'!A:A,$C$85)</f>
        <v>0</v>
      </c>
      <c r="D133" s="62">
        <f>SUMIFS('reductions data'!H:H,'reductions data'!G:G,'reasons for reduction division'!B133,'reductions data'!A:A,$D$85)</f>
        <v>0</v>
      </c>
      <c r="E133" s="62">
        <f>SUMIFS('reductions data'!H:H,'reductions data'!G:G,'reasons for reduction division'!B133,'reductions data'!A:A,$E$85)</f>
        <v>0</v>
      </c>
      <c r="F133" s="62">
        <f>SUMIFS('reductions data'!H:H,'reductions data'!G:G,'reasons for reduction division'!B133,'reductions data'!A:A,$F$85)</f>
        <v>0</v>
      </c>
      <c r="G133" s="62">
        <f>SUMIFS('reductions data'!H:H,'reductions data'!G:G,'reasons for reduction division'!B133,'reductions data'!A:A,$G$85)</f>
        <v>0</v>
      </c>
      <c r="H133" s="62">
        <f>SUMIFS('reductions data'!H:H,'reductions data'!G:G,'reasons for reduction division'!B133,'reductions data'!A:A,$H$85)</f>
        <v>0</v>
      </c>
      <c r="I133" s="62">
        <f>SUMIFS('reductions data'!H:H,'reductions data'!G:G,'reasons for reduction division'!B133,'reductions data'!A:A,$I$85)</f>
        <v>0</v>
      </c>
      <c r="J133" s="62">
        <f>SUMIFS('reductions data'!H:H,'reductions data'!G:G,'reasons for reduction division'!B133,'reductions data'!A:A,$J$85)</f>
        <v>0</v>
      </c>
      <c r="K133" s="62">
        <f>SUMIFS('reductions data'!H:H,'reductions data'!G:G,'reasons for reduction division'!B133,'reductions data'!A:A,$K$85)</f>
        <v>0</v>
      </c>
      <c r="L133" s="62">
        <f>SUMIFS('reductions data'!H:H,'reductions data'!G:G,'reasons for reduction division'!B133,'reductions data'!A:A,$L$85)</f>
        <v>0</v>
      </c>
      <c r="M133" s="62">
        <f>SUMIFS('reductions data'!H:H,'reductions data'!G:G,'reasons for reduction division'!B133,'reductions data'!A:A,$M$85)</f>
        <v>0</v>
      </c>
      <c r="N133" s="62">
        <f>SUMIFS('reductions data'!H:H,'reductions data'!G:G,'reasons for reduction division'!B133,'reductions data'!A:A,$N$85)</f>
        <v>0</v>
      </c>
      <c r="O133" s="105">
        <f>SUMIF('reductions data'!G:G,'reasons for reduction division'!B133,'reductions data'!H:H)</f>
        <v>0</v>
      </c>
    </row>
    <row r="134" spans="2:15" x14ac:dyDescent="0.25">
      <c r="B134" s="113" t="s">
        <v>950</v>
      </c>
      <c r="C134" s="62">
        <f>SUMIFS('reductions data'!H:H,'reductions data'!G:G,'reasons for reduction division'!B134,'reductions data'!A:A,$C$85)</f>
        <v>0</v>
      </c>
      <c r="D134" s="62">
        <f>SUMIFS('reductions data'!H:H,'reductions data'!G:G,'reasons for reduction division'!B134,'reductions data'!A:A,$D$85)</f>
        <v>0</v>
      </c>
      <c r="E134" s="62">
        <f>SUMIFS('reductions data'!H:H,'reductions data'!G:G,'reasons for reduction division'!B134,'reductions data'!A:A,$E$85)</f>
        <v>0</v>
      </c>
      <c r="F134" s="62">
        <f>SUMIFS('reductions data'!H:H,'reductions data'!G:G,'reasons for reduction division'!B134,'reductions data'!A:A,$F$85)</f>
        <v>0</v>
      </c>
      <c r="G134" s="62">
        <f>SUMIFS('reductions data'!H:H,'reductions data'!G:G,'reasons for reduction division'!B134,'reductions data'!A:A,$G$85)</f>
        <v>0</v>
      </c>
      <c r="H134" s="62">
        <f>SUMIFS('reductions data'!H:H,'reductions data'!G:G,'reasons for reduction division'!B134,'reductions data'!A:A,$H$85)</f>
        <v>0</v>
      </c>
      <c r="I134" s="62">
        <f>SUMIFS('reductions data'!H:H,'reductions data'!G:G,'reasons for reduction division'!B134,'reductions data'!A:A,$I$85)</f>
        <v>0</v>
      </c>
      <c r="J134" s="62">
        <f>SUMIFS('reductions data'!H:H,'reductions data'!G:G,'reasons for reduction division'!B134,'reductions data'!A:A,$J$85)</f>
        <v>0</v>
      </c>
      <c r="K134" s="62">
        <f>SUMIFS('reductions data'!H:H,'reductions data'!G:G,'reasons for reduction division'!B134,'reductions data'!A:A,$K$85)</f>
        <v>0</v>
      </c>
      <c r="L134" s="62">
        <f>SUMIFS('reductions data'!H:H,'reductions data'!G:G,'reasons for reduction division'!B134,'reductions data'!A:A,$L$85)</f>
        <v>0</v>
      </c>
      <c r="M134" s="62">
        <f>SUMIFS('reductions data'!H:H,'reductions data'!G:G,'reasons for reduction division'!B134,'reductions data'!A:A,$M$85)</f>
        <v>0</v>
      </c>
      <c r="N134" s="62">
        <f>SUMIFS('reductions data'!H:H,'reductions data'!G:G,'reasons for reduction division'!B134,'reductions data'!A:A,$N$85)</f>
        <v>0</v>
      </c>
      <c r="O134" s="105">
        <f>SUMIF('reductions data'!G:G,'reasons for reduction division'!B134,'reductions data'!H:H)</f>
        <v>0</v>
      </c>
    </row>
    <row r="135" spans="2:15" x14ac:dyDescent="0.25">
      <c r="B135" s="113" t="s">
        <v>951</v>
      </c>
      <c r="C135" s="62">
        <f>SUMIFS('reductions data'!H:H,'reductions data'!G:G,'reasons for reduction division'!B135,'reductions data'!A:A,$C$85)</f>
        <v>0</v>
      </c>
      <c r="D135" s="62">
        <f>SUMIFS('reductions data'!H:H,'reductions data'!G:G,'reasons for reduction division'!B135,'reductions data'!A:A,$D$85)</f>
        <v>0</v>
      </c>
      <c r="E135" s="62">
        <f>SUMIFS('reductions data'!H:H,'reductions data'!G:G,'reasons for reduction division'!B135,'reductions data'!A:A,$E$85)</f>
        <v>0</v>
      </c>
      <c r="F135" s="62">
        <f>SUMIFS('reductions data'!H:H,'reductions data'!G:G,'reasons for reduction division'!B135,'reductions data'!A:A,$F$85)</f>
        <v>0</v>
      </c>
      <c r="G135" s="62">
        <f>SUMIFS('reductions data'!H:H,'reductions data'!G:G,'reasons for reduction division'!B135,'reductions data'!A:A,$G$85)</f>
        <v>0</v>
      </c>
      <c r="H135" s="62">
        <f>SUMIFS('reductions data'!H:H,'reductions data'!G:G,'reasons for reduction division'!B135,'reductions data'!A:A,$H$85)</f>
        <v>0</v>
      </c>
      <c r="I135" s="62">
        <f>SUMIFS('reductions data'!H:H,'reductions data'!G:G,'reasons for reduction division'!B135,'reductions data'!A:A,$I$85)</f>
        <v>0</v>
      </c>
      <c r="J135" s="62">
        <f>SUMIFS('reductions data'!H:H,'reductions data'!G:G,'reasons for reduction division'!B135,'reductions data'!A:A,$J$85)</f>
        <v>0</v>
      </c>
      <c r="K135" s="62">
        <f>SUMIFS('reductions data'!H:H,'reductions data'!G:G,'reasons for reduction division'!B135,'reductions data'!A:A,$K$85)</f>
        <v>0</v>
      </c>
      <c r="L135" s="62">
        <f>SUMIFS('reductions data'!H:H,'reductions data'!G:G,'reasons for reduction division'!B135,'reductions data'!A:A,$L$85)</f>
        <v>0</v>
      </c>
      <c r="M135" s="62">
        <f>SUMIFS('reductions data'!H:H,'reductions data'!G:G,'reasons for reduction division'!B135,'reductions data'!A:A,$M$85)</f>
        <v>0</v>
      </c>
      <c r="N135" s="62">
        <f>SUMIFS('reductions data'!H:H,'reductions data'!G:G,'reasons for reduction division'!B135,'reductions data'!A:A,$N$85)</f>
        <v>0</v>
      </c>
      <c r="O135" s="105">
        <f>SUMIF('reductions data'!G:G,'reasons for reduction division'!B135,'reductions data'!H:H)</f>
        <v>0</v>
      </c>
    </row>
    <row r="136" spans="2:15" x14ac:dyDescent="0.25">
      <c r="B136" s="113" t="s">
        <v>952</v>
      </c>
      <c r="C136" s="62">
        <f>SUMIFS('reductions data'!H:H,'reductions data'!G:G,'reasons for reduction division'!B136,'reductions data'!A:A,$C$85)</f>
        <v>0</v>
      </c>
      <c r="D136" s="62">
        <f>SUMIFS('reductions data'!H:H,'reductions data'!G:G,'reasons for reduction division'!B136,'reductions data'!A:A,$D$85)</f>
        <v>0</v>
      </c>
      <c r="E136" s="62">
        <f>SUMIFS('reductions data'!H:H,'reductions data'!G:G,'reasons for reduction division'!B136,'reductions data'!A:A,$E$85)</f>
        <v>0</v>
      </c>
      <c r="F136" s="62">
        <f>SUMIFS('reductions data'!H:H,'reductions data'!G:G,'reasons for reduction division'!B136,'reductions data'!A:A,$F$85)</f>
        <v>0</v>
      </c>
      <c r="G136" s="62">
        <f>SUMIFS('reductions data'!H:H,'reductions data'!G:G,'reasons for reduction division'!B136,'reductions data'!A:A,$G$85)</f>
        <v>0</v>
      </c>
      <c r="H136" s="62">
        <f>SUMIFS('reductions data'!H:H,'reductions data'!G:G,'reasons for reduction division'!B136,'reductions data'!A:A,$H$85)</f>
        <v>0</v>
      </c>
      <c r="I136" s="62">
        <f>SUMIFS('reductions data'!H:H,'reductions data'!G:G,'reasons for reduction division'!B136,'reductions data'!A:A,$I$85)</f>
        <v>0</v>
      </c>
      <c r="J136" s="62">
        <f>SUMIFS('reductions data'!H:H,'reductions data'!G:G,'reasons for reduction division'!B136,'reductions data'!A:A,$J$85)</f>
        <v>0</v>
      </c>
      <c r="K136" s="62">
        <f>SUMIFS('reductions data'!H:H,'reductions data'!G:G,'reasons for reduction division'!B136,'reductions data'!A:A,$K$85)</f>
        <v>0</v>
      </c>
      <c r="L136" s="62">
        <f>SUMIFS('reductions data'!H:H,'reductions data'!G:G,'reasons for reduction division'!B136,'reductions data'!A:A,$L$85)</f>
        <v>0</v>
      </c>
      <c r="M136" s="62">
        <f>SUMIFS('reductions data'!H:H,'reductions data'!G:G,'reasons for reduction division'!B136,'reductions data'!A:A,$M$85)</f>
        <v>0</v>
      </c>
      <c r="N136" s="62">
        <f>SUMIFS('reductions data'!H:H,'reductions data'!G:G,'reasons for reduction division'!B136,'reductions data'!A:A,$N$85)</f>
        <v>0</v>
      </c>
      <c r="O136" s="105">
        <f>SUMIF('reductions data'!G:G,'reasons for reduction division'!B136,'reductions data'!H:H)</f>
        <v>0</v>
      </c>
    </row>
    <row r="137" spans="2:15" x14ac:dyDescent="0.25">
      <c r="B137" s="218" t="s">
        <v>981</v>
      </c>
      <c r="C137" s="173">
        <f>SUMIF('reductions data'!A:A,$C$85,'reductions data'!H:H)</f>
        <v>0</v>
      </c>
      <c r="D137" s="173">
        <f>SUMIF('reductions data'!A:A,$D$85,'reductions data'!H:H)</f>
        <v>0</v>
      </c>
      <c r="E137" s="173">
        <f>SUMIF('reductions data'!A:A,$E$85,'reductions data'!H:H)</f>
        <v>0</v>
      </c>
      <c r="F137" s="173">
        <f>SUMIF('reductions data'!A:A,$F$85,'reductions data'!H:H)</f>
        <v>0</v>
      </c>
      <c r="G137" s="173">
        <f>SUMIF('reductions data'!A:A,$G$85,'reductions data'!H:H)</f>
        <v>0</v>
      </c>
      <c r="H137" s="173">
        <f>SUMIF('reductions data'!A:A,$H$85,'reductions data'!H:H)</f>
        <v>0</v>
      </c>
      <c r="I137" s="173">
        <f>SUMIF('reductions data'!A:A,$I$85,'reductions data'!H:H)</f>
        <v>0</v>
      </c>
      <c r="J137" s="173">
        <f>SUMIF('reductions data'!A:A,$J$85,'reductions data'!H:H)</f>
        <v>0</v>
      </c>
      <c r="K137" s="173">
        <f>SUMIF('reductions data'!A:A,$K$85,'reductions data'!H:H)</f>
        <v>0</v>
      </c>
      <c r="L137" s="173">
        <f>SUMIF('reductions data'!A:A,$L$85,'reductions data'!H:H)</f>
        <v>0</v>
      </c>
      <c r="M137" s="173">
        <f>SUMIF('reductions data'!A:A,$M$85,'reductions data'!H:H)</f>
        <v>0</v>
      </c>
      <c r="N137" s="173">
        <f>SUMIF('reductions data'!$A:$A,N85,'reductions data'!$H:$H)</f>
        <v>0</v>
      </c>
      <c r="O137" s="183">
        <f>SUM('reductions data'!H:H)</f>
        <v>0</v>
      </c>
    </row>
    <row r="138" spans="2:15" x14ac:dyDescent="0.25">
      <c r="B138" s="173" t="s">
        <v>1212</v>
      </c>
      <c r="C138" s="173">
        <f>SUMIF('capacity data'!A:A,$C$85,'capacity data'!I:I)</f>
        <v>0</v>
      </c>
      <c r="D138" s="173">
        <f>SUMIF('capacity data'!A:A,$D$85,'capacity data'!I:I)</f>
        <v>0</v>
      </c>
      <c r="E138" s="173">
        <f>SUMIF('capacity data'!A:A,$E$85,'capacity data'!I:I)</f>
        <v>0</v>
      </c>
      <c r="F138" s="173">
        <f>SUMIF('capacity data'!A:A,$F$85,'capacity data'!I:I)</f>
        <v>0</v>
      </c>
      <c r="G138" s="173">
        <f>SUMIF('capacity data'!A:A,$G$85,'capacity data'!I:I)</f>
        <v>0</v>
      </c>
      <c r="H138" s="173">
        <f>SUMIF('capacity data'!A:A,$H$85,'capacity data'!I:I)</f>
        <v>0</v>
      </c>
      <c r="I138" s="173">
        <f>SUMIF('capacity data'!A:A,$I$85,'capacity data'!I:I)</f>
        <v>0</v>
      </c>
      <c r="J138" s="173">
        <f>SUMIF('capacity data'!A:A,$J$85,'capacity data'!I:I)</f>
        <v>0</v>
      </c>
      <c r="K138" s="173">
        <f>SUMIF('capacity data'!A:A,$K$85,'capacity data'!I:I)</f>
        <v>0</v>
      </c>
      <c r="L138" s="173">
        <f>SUMIF('capacity data'!A:A,$L$85,'capacity data'!I:I)</f>
        <v>0</v>
      </c>
      <c r="M138" s="173">
        <f>SUMIF('capacity data'!$A:$A,M$85,'capacity data'!$I:$I)</f>
        <v>0</v>
      </c>
      <c r="N138" s="173">
        <f>SUMIF('capacity data'!$A:$A,N$85,'capacity data'!$I:$I)</f>
        <v>0</v>
      </c>
      <c r="O138" s="173">
        <f>SUM(C138:N138)</f>
        <v>0</v>
      </c>
    </row>
    <row r="139" spans="2:15" x14ac:dyDescent="0.25">
      <c r="B139" s="217" t="s">
        <v>1213</v>
      </c>
      <c r="C139" s="184" t="e">
        <f t="shared" ref="C139:O139" si="0">C137/C138</f>
        <v>#DIV/0!</v>
      </c>
      <c r="D139" s="184" t="e">
        <f t="shared" si="0"/>
        <v>#DIV/0!</v>
      </c>
      <c r="E139" s="184" t="e">
        <f t="shared" si="0"/>
        <v>#DIV/0!</v>
      </c>
      <c r="F139" s="184" t="e">
        <f t="shared" si="0"/>
        <v>#DIV/0!</v>
      </c>
      <c r="G139" s="184" t="e">
        <f t="shared" si="0"/>
        <v>#DIV/0!</v>
      </c>
      <c r="H139" s="184" t="e">
        <f t="shared" si="0"/>
        <v>#DIV/0!</v>
      </c>
      <c r="I139" s="184" t="e">
        <f t="shared" si="0"/>
        <v>#DIV/0!</v>
      </c>
      <c r="J139" s="184" t="e">
        <f t="shared" si="0"/>
        <v>#DIV/0!</v>
      </c>
      <c r="K139" s="184" t="e">
        <f t="shared" si="0"/>
        <v>#DIV/0!</v>
      </c>
      <c r="L139" s="184" t="e">
        <f t="shared" si="0"/>
        <v>#DIV/0!</v>
      </c>
      <c r="M139" s="184" t="e">
        <f t="shared" si="0"/>
        <v>#DIV/0!</v>
      </c>
      <c r="N139" s="184" t="e">
        <f t="shared" si="0"/>
        <v>#DIV/0!</v>
      </c>
      <c r="O139" s="184" t="e">
        <f t="shared" si="0"/>
        <v>#DIV/0!</v>
      </c>
    </row>
  </sheetData>
  <sortState xmlns:xlrd2="http://schemas.microsoft.com/office/spreadsheetml/2017/richdata2" ref="B86:O136">
    <sortCondition ref="B86:B136"/>
  </sortState>
  <mergeCells count="27">
    <mergeCell ref="C84:O84"/>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64"/>
  <sheetViews>
    <sheetView showGridLines="0" zoomScale="85" zoomScaleNormal="85" workbookViewId="0">
      <selection sqref="A1:F1"/>
    </sheetView>
  </sheetViews>
  <sheetFormatPr defaultColWidth="8.85546875" defaultRowHeight="15" x14ac:dyDescent="0.25"/>
  <cols>
    <col min="1" max="1" width="49.7109375" customWidth="1"/>
    <col min="2" max="3" width="25.42578125" customWidth="1"/>
    <col min="4" max="4" width="9.140625" customWidth="1"/>
    <col min="5" max="5" width="48.42578125" bestFit="1" customWidth="1"/>
    <col min="6" max="6" width="15.140625" customWidth="1"/>
    <col min="7" max="7" width="16.85546875" customWidth="1"/>
  </cols>
  <sheetData>
    <row r="1" spans="1:17" ht="68.25" customHeight="1" x14ac:dyDescent="0.25">
      <c r="A1" s="536" t="s">
        <v>1214</v>
      </c>
      <c r="B1" s="536"/>
      <c r="C1" s="536"/>
      <c r="D1" s="536"/>
      <c r="E1" s="536"/>
      <c r="F1" s="536"/>
      <c r="G1" s="261"/>
      <c r="H1" s="261"/>
      <c r="I1" s="261"/>
      <c r="J1" s="261"/>
      <c r="K1" s="261"/>
      <c r="L1" s="261"/>
      <c r="M1" s="261"/>
      <c r="N1" s="261"/>
      <c r="O1" s="261"/>
      <c r="P1" s="261"/>
      <c r="Q1" s="261"/>
    </row>
    <row r="2" spans="1:17" ht="38.25" customHeight="1" x14ac:dyDescent="0.25">
      <c r="A2" s="430"/>
      <c r="B2" s="430"/>
      <c r="C2" s="430"/>
      <c r="D2" s="430"/>
      <c r="E2" s="430"/>
      <c r="F2" s="430"/>
      <c r="G2" s="270"/>
      <c r="H2" s="270"/>
      <c r="I2" s="270"/>
      <c r="J2" s="270"/>
      <c r="K2" s="270"/>
      <c r="L2" s="270"/>
      <c r="M2" s="270"/>
      <c r="N2" s="270"/>
      <c r="O2" s="270"/>
      <c r="P2" s="270"/>
      <c r="Q2" s="270"/>
    </row>
    <row r="4" spans="1:17" ht="30" x14ac:dyDescent="0.25">
      <c r="A4" s="36" t="s">
        <v>1066</v>
      </c>
    </row>
    <row r="5" spans="1:17" ht="21" customHeight="1" x14ac:dyDescent="0.25">
      <c r="A5" s="242" t="s">
        <v>21</v>
      </c>
    </row>
    <row r="6" spans="1:17" ht="36.75" customHeight="1" x14ac:dyDescent="0.25">
      <c r="A6" s="293" t="s">
        <v>238</v>
      </c>
      <c r="B6" s="42"/>
      <c r="C6" s="42"/>
    </row>
    <row r="8" spans="1:17" ht="29.25" customHeight="1" x14ac:dyDescent="0.3">
      <c r="A8" s="427" t="s">
        <v>1076</v>
      </c>
      <c r="B8" s="589"/>
      <c r="C8" s="589"/>
    </row>
    <row r="9" spans="1:17" ht="30" x14ac:dyDescent="0.25">
      <c r="A9" s="220" t="s">
        <v>1078</v>
      </c>
      <c r="B9" s="37" t="s">
        <v>1079</v>
      </c>
      <c r="C9" s="37" t="s">
        <v>1080</v>
      </c>
      <c r="E9" s="590" t="s">
        <v>1077</v>
      </c>
      <c r="F9" s="590"/>
    </row>
    <row r="10" spans="1:17" x14ac:dyDescent="0.25">
      <c r="A10" s="112" t="s">
        <v>907</v>
      </c>
      <c r="B10" s="89">
        <f>COUNTIFS('reductions data'!B:B,$A$6,'reductions data'!G:G,A10)</f>
        <v>0</v>
      </c>
      <c r="C10" s="90">
        <f>SUMIFS('reductions data'!H:H,'reductions data'!B:B,$A$6,'reductions data'!G:G,A10)</f>
        <v>0</v>
      </c>
      <c r="E10" s="185" t="s">
        <v>1215</v>
      </c>
      <c r="F10" s="214">
        <f>COUNTIFS('reductions data'!B:B,'cluster reductions'!A6,'reductions data'!K:K,"ACTIVE")</f>
        <v>0</v>
      </c>
    </row>
    <row r="11" spans="1:17" x14ac:dyDescent="0.25">
      <c r="A11" s="113" t="s">
        <v>909</v>
      </c>
      <c r="B11" s="89">
        <f>COUNTIFS('reductions data'!B:B,$A$6,'reductions data'!G:G,A11)</f>
        <v>0</v>
      </c>
      <c r="C11" s="90">
        <f>SUMIFS('reductions data'!H:H,'reductions data'!B:B,$A$6,'reductions data'!G:G,A11)</f>
        <v>0</v>
      </c>
      <c r="E11" s="185" t="s">
        <v>1216</v>
      </c>
      <c r="F11" s="214">
        <f>SUMIF('reductions data'!B:B,'cluster reductions'!A6,'reductions data'!H:H)</f>
        <v>0</v>
      </c>
    </row>
    <row r="12" spans="1:17" x14ac:dyDescent="0.25">
      <c r="A12" s="113" t="s">
        <v>908</v>
      </c>
      <c r="B12" s="89">
        <f>COUNTIFS('reductions data'!B:B,$A$6,'reductions data'!G:G,A12)</f>
        <v>0</v>
      </c>
      <c r="C12" s="90">
        <f>SUMIFS('reductions data'!H:H,'reductions data'!B:B,$A$6,'reductions data'!G:G,A12)</f>
        <v>0</v>
      </c>
      <c r="E12" s="72" t="s">
        <v>1217</v>
      </c>
      <c r="F12" s="214">
        <f>SUMIF('capacity data'!B:B,'cluster reductions'!A6,'capacity data'!I:I)</f>
        <v>0</v>
      </c>
    </row>
    <row r="13" spans="1:17" x14ac:dyDescent="0.25">
      <c r="A13" s="113" t="s">
        <v>910</v>
      </c>
      <c r="B13" s="89">
        <f>COUNTIFS('reductions data'!B:B,$A$6,'reductions data'!G:G,A13)</f>
        <v>0</v>
      </c>
      <c r="C13" s="90">
        <f>SUMIFS('reductions data'!H:H,'reductions data'!B:B,$A$6,'reductions data'!G:G,A13)</f>
        <v>0</v>
      </c>
      <c r="E13" s="72" t="s">
        <v>1218</v>
      </c>
      <c r="F13" s="92" t="e">
        <f>F11/F12</f>
        <v>#DIV/0!</v>
      </c>
    </row>
    <row r="14" spans="1:17" x14ac:dyDescent="0.25">
      <c r="A14" s="113" t="s">
        <v>911</v>
      </c>
      <c r="B14" s="89">
        <f>COUNTIFS('reductions data'!B:B,$A$6,'reductions data'!G:G,A14)</f>
        <v>0</v>
      </c>
      <c r="C14" s="90">
        <f>SUMIFS('reductions data'!H:H,'reductions data'!B:B,$A$6,'reductions data'!G:G,A14)</f>
        <v>0</v>
      </c>
      <c r="E14" s="186" t="s">
        <v>1010</v>
      </c>
      <c r="F14" s="211" t="e">
        <f>+F13-'div &amp; regional reduction hours'!N18</f>
        <v>#DIV/0!</v>
      </c>
    </row>
    <row r="15" spans="1:17" x14ac:dyDescent="0.25">
      <c r="A15" s="113" t="s">
        <v>912</v>
      </c>
      <c r="B15" s="89">
        <f>COUNTIFS('reductions data'!B:B,$A$6,'reductions data'!G:G,A15)</f>
        <v>0</v>
      </c>
      <c r="C15" s="90">
        <f>SUMIFS('reductions data'!H:H,'reductions data'!B:B,$A$6,'reductions data'!G:G,A15)</f>
        <v>0</v>
      </c>
    </row>
    <row r="16" spans="1:17" x14ac:dyDescent="0.25">
      <c r="A16" s="113" t="s">
        <v>913</v>
      </c>
      <c r="B16" s="89">
        <f>COUNTIFS('reductions data'!B:B,$A$6,'reductions data'!G:G,A16)</f>
        <v>0</v>
      </c>
      <c r="C16" s="90">
        <f>SUMIFS('reductions data'!H:H,'reductions data'!B:B,$A$6,'reductions data'!G:G,A16)</f>
        <v>0</v>
      </c>
    </row>
    <row r="17" spans="1:3" x14ac:dyDescent="0.25">
      <c r="A17" s="113" t="s">
        <v>914</v>
      </c>
      <c r="B17" s="89">
        <f>COUNTIFS('reductions data'!B:B,$A$6,'reductions data'!G:G,A17)</f>
        <v>0</v>
      </c>
      <c r="C17" s="90">
        <f>SUMIFS('reductions data'!H:H,'reductions data'!B:B,$A$6,'reductions data'!G:G,A17)</f>
        <v>0</v>
      </c>
    </row>
    <row r="18" spans="1:3" x14ac:dyDescent="0.25">
      <c r="A18" s="113" t="s">
        <v>1287</v>
      </c>
      <c r="B18" s="89">
        <f>COUNTIFS('reductions data'!B:B,$A$6,'reductions data'!G:G,A18)</f>
        <v>0</v>
      </c>
      <c r="C18" s="90">
        <f>SUMIFS('reductions data'!H:H,'reductions data'!B:B,$A$6,'reductions data'!G:G,A18)</f>
        <v>0</v>
      </c>
    </row>
    <row r="19" spans="1:3" x14ac:dyDescent="0.25">
      <c r="A19" s="113" t="s">
        <v>915</v>
      </c>
      <c r="B19" s="89">
        <f>COUNTIFS('reductions data'!B:B,$A$6,'reductions data'!G:G,A19)</f>
        <v>0</v>
      </c>
      <c r="C19" s="90">
        <f>SUMIFS('reductions data'!H:H,'reductions data'!B:B,$A$6,'reductions data'!G:G,A19)</f>
        <v>0</v>
      </c>
    </row>
    <row r="20" spans="1:3" x14ac:dyDescent="0.25">
      <c r="A20" s="113" t="s">
        <v>916</v>
      </c>
      <c r="B20" s="89">
        <f>COUNTIFS('reductions data'!B:B,$A$6,'reductions data'!G:G,A20)</f>
        <v>0</v>
      </c>
      <c r="C20" s="90">
        <f>SUMIFS('reductions data'!H:H,'reductions data'!B:B,$A$6,'reductions data'!G:G,A20)</f>
        <v>0</v>
      </c>
    </row>
    <row r="21" spans="1:3" x14ac:dyDescent="0.25">
      <c r="A21" s="113" t="s">
        <v>917</v>
      </c>
      <c r="B21" s="89">
        <f>COUNTIFS('reductions data'!B:B,$A$6,'reductions data'!G:G,A21)</f>
        <v>0</v>
      </c>
      <c r="C21" s="90">
        <f>SUMIFS('reductions data'!H:H,'reductions data'!B:B,$A$6,'reductions data'!G:G,A21)</f>
        <v>0</v>
      </c>
    </row>
    <row r="22" spans="1:3" x14ac:dyDescent="0.25">
      <c r="A22" s="113" t="s">
        <v>918</v>
      </c>
      <c r="B22" s="89">
        <f>COUNTIFS('reductions data'!B:B,$A$6,'reductions data'!G:G,A22)</f>
        <v>0</v>
      </c>
      <c r="C22" s="90">
        <f>SUMIFS('reductions data'!H:H,'reductions data'!B:B,$A$6,'reductions data'!G:G,A22)</f>
        <v>0</v>
      </c>
    </row>
    <row r="23" spans="1:3" x14ac:dyDescent="0.25">
      <c r="A23" s="113" t="s">
        <v>920</v>
      </c>
      <c r="B23" s="89">
        <f>COUNTIFS('reductions data'!B:B,$A$6,'reductions data'!G:G,A23)</f>
        <v>0</v>
      </c>
      <c r="C23" s="90">
        <f>SUMIFS('reductions data'!H:H,'reductions data'!B:B,$A$6,'reductions data'!G:G,A23)</f>
        <v>0</v>
      </c>
    </row>
    <row r="24" spans="1:3" x14ac:dyDescent="0.25">
      <c r="A24" s="113" t="s">
        <v>923</v>
      </c>
      <c r="B24" s="89">
        <f>COUNTIFS('reductions data'!B:B,$A$6,'reductions data'!G:G,A24)</f>
        <v>0</v>
      </c>
      <c r="C24" s="90">
        <f>SUMIFS('reductions data'!H:H,'reductions data'!B:B,$A$6,'reductions data'!G:G,A24)</f>
        <v>0</v>
      </c>
    </row>
    <row r="25" spans="1:3" x14ac:dyDescent="0.25">
      <c r="A25" s="113" t="s">
        <v>919</v>
      </c>
      <c r="B25" s="89">
        <f>COUNTIFS('reductions data'!B:B,$A$6,'reductions data'!G:G,A25)</f>
        <v>0</v>
      </c>
      <c r="C25" s="90">
        <f>SUMIFS('reductions data'!H:H,'reductions data'!B:B,$A$6,'reductions data'!G:G,A25)</f>
        <v>0</v>
      </c>
    </row>
    <row r="26" spans="1:3" x14ac:dyDescent="0.25">
      <c r="A26" s="113" t="s">
        <v>1011</v>
      </c>
      <c r="B26" s="89">
        <f>COUNTIFS('reductions data'!B:B,$A$6,'reductions data'!G:G,A26)</f>
        <v>0</v>
      </c>
      <c r="C26" s="90">
        <f>SUMIFS('reductions data'!H:H,'reductions data'!B:B,$A$6,'reductions data'!G:G,A26)</f>
        <v>0</v>
      </c>
    </row>
    <row r="27" spans="1:3" x14ac:dyDescent="0.25">
      <c r="A27" s="113" t="s">
        <v>924</v>
      </c>
      <c r="B27" s="89">
        <f>COUNTIFS('reductions data'!B:B,$A$6,'reductions data'!G:G,A27)</f>
        <v>0</v>
      </c>
      <c r="C27" s="90">
        <f>SUMIFS('reductions data'!H:H,'reductions data'!B:B,$A$6,'reductions data'!G:G,A27)</f>
        <v>0</v>
      </c>
    </row>
    <row r="28" spans="1:3" x14ac:dyDescent="0.25">
      <c r="A28" s="113" t="s">
        <v>925</v>
      </c>
      <c r="B28" s="89">
        <f>COUNTIFS('reductions data'!B:B,$A$6,'reductions data'!G:G,A28)</f>
        <v>0</v>
      </c>
      <c r="C28" s="90">
        <f>SUMIFS('reductions data'!H:H,'reductions data'!B:B,$A$6,'reductions data'!G:G,A28)</f>
        <v>0</v>
      </c>
    </row>
    <row r="29" spans="1:3" x14ac:dyDescent="0.25">
      <c r="A29" s="113" t="s">
        <v>926</v>
      </c>
      <c r="B29" s="89">
        <f>COUNTIFS('reductions data'!B:B,$A$6,'reductions data'!G:G,A29)</f>
        <v>0</v>
      </c>
      <c r="C29" s="90">
        <f>SUMIFS('reductions data'!H:H,'reductions data'!B:B,$A$6,'reductions data'!G:G,A29)</f>
        <v>0</v>
      </c>
    </row>
    <row r="30" spans="1:3" x14ac:dyDescent="0.25">
      <c r="A30" s="113" t="s">
        <v>927</v>
      </c>
      <c r="B30" s="89">
        <f>COUNTIFS('reductions data'!B:B,$A$6,'reductions data'!G:G,A30)</f>
        <v>0</v>
      </c>
      <c r="C30" s="90">
        <f>SUMIFS('reductions data'!H:H,'reductions data'!B:B,$A$6,'reductions data'!G:G,A30)</f>
        <v>0</v>
      </c>
    </row>
    <row r="31" spans="1:3" x14ac:dyDescent="0.25">
      <c r="A31" s="113" t="s">
        <v>928</v>
      </c>
      <c r="B31" s="89">
        <f>COUNTIFS('reductions data'!B:B,$A$6,'reductions data'!G:G,A31)</f>
        <v>0</v>
      </c>
      <c r="C31" s="90">
        <f>SUMIFS('reductions data'!H:H,'reductions data'!B:B,$A$6,'reductions data'!G:G,A31)</f>
        <v>0</v>
      </c>
    </row>
    <row r="32" spans="1:3" x14ac:dyDescent="0.25">
      <c r="A32" s="113" t="s">
        <v>929</v>
      </c>
      <c r="B32" s="89">
        <f>COUNTIFS('reductions data'!B:B,$A$6,'reductions data'!G:G,A32)</f>
        <v>0</v>
      </c>
      <c r="C32" s="90">
        <f>SUMIFS('reductions data'!H:H,'reductions data'!B:B,$A$6,'reductions data'!G:G,A32)</f>
        <v>0</v>
      </c>
    </row>
    <row r="33" spans="1:3" x14ac:dyDescent="0.25">
      <c r="A33" s="113" t="s">
        <v>930</v>
      </c>
      <c r="B33" s="89">
        <f>COUNTIFS('reductions data'!B:B,$A$6,'reductions data'!G:G,A33)</f>
        <v>0</v>
      </c>
      <c r="C33" s="90">
        <f>SUMIFS('reductions data'!H:H,'reductions data'!B:B,$A$6,'reductions data'!G:G,A33)</f>
        <v>0</v>
      </c>
    </row>
    <row r="34" spans="1:3" x14ac:dyDescent="0.25">
      <c r="A34" s="113" t="s">
        <v>932</v>
      </c>
      <c r="B34" s="89">
        <f>COUNTIFS('reductions data'!B:B,$A$6,'reductions data'!G:G,A34)</f>
        <v>0</v>
      </c>
      <c r="C34" s="90">
        <f>SUMIFS('reductions data'!H:H,'reductions data'!B:B,$A$6,'reductions data'!G:G,A34)</f>
        <v>0</v>
      </c>
    </row>
    <row r="35" spans="1:3" x14ac:dyDescent="0.25">
      <c r="A35" s="113" t="s">
        <v>934</v>
      </c>
      <c r="B35" s="89">
        <f>COUNTIFS('reductions data'!B:B,$A$6,'reductions data'!G:G,A35)</f>
        <v>0</v>
      </c>
      <c r="C35" s="90">
        <f>SUMIFS('reductions data'!H:H,'reductions data'!B:B,$A$6,'reductions data'!G:G,A35)</f>
        <v>0</v>
      </c>
    </row>
    <row r="36" spans="1:3" x14ac:dyDescent="0.25">
      <c r="A36" s="113" t="s">
        <v>936</v>
      </c>
      <c r="B36" s="89">
        <f>COUNTIFS('reductions data'!B:B,$A$6,'reductions data'!G:G,A36)</f>
        <v>0</v>
      </c>
      <c r="C36" s="90">
        <f>SUMIFS('reductions data'!H:H,'reductions data'!B:B,$A$6,'reductions data'!G:G,A36)</f>
        <v>0</v>
      </c>
    </row>
    <row r="37" spans="1:3" x14ac:dyDescent="0.25">
      <c r="A37" s="113" t="s">
        <v>1280</v>
      </c>
      <c r="B37" s="89">
        <f>COUNTIFS('reductions data'!B:B,$A$6,'reductions data'!G:G,A37)</f>
        <v>0</v>
      </c>
      <c r="C37" s="90">
        <f>SUMIFS('reductions data'!H:H,'reductions data'!B:B,$A$6,'reductions data'!G:G,A37)</f>
        <v>0</v>
      </c>
    </row>
    <row r="38" spans="1:3" x14ac:dyDescent="0.25">
      <c r="A38" s="113" t="s">
        <v>1281</v>
      </c>
      <c r="B38" s="89">
        <f>COUNTIFS('reductions data'!B:B,$A$6,'reductions data'!G:G,A38)</f>
        <v>0</v>
      </c>
      <c r="C38" s="90">
        <f>SUMIFS('reductions data'!H:H,'reductions data'!B:B,$A$6,'reductions data'!G:G,A38)</f>
        <v>0</v>
      </c>
    </row>
    <row r="39" spans="1:3" x14ac:dyDescent="0.25">
      <c r="A39" s="324" t="s">
        <v>1278</v>
      </c>
      <c r="B39" s="89">
        <f>COUNTIFS('reductions data'!B:B,$A$6,'reductions data'!G:G,A39)</f>
        <v>0</v>
      </c>
      <c r="C39" s="90">
        <f>SUMIFS('reductions data'!H:H,'reductions data'!B:B,$A$6,'reductions data'!G:G,A39)</f>
        <v>0</v>
      </c>
    </row>
    <row r="40" spans="1:3" x14ac:dyDescent="0.25">
      <c r="A40" s="324" t="s">
        <v>1279</v>
      </c>
      <c r="B40" s="89">
        <f>COUNTIFS('reductions data'!B:B,$A$6,'reductions data'!G:G,A40)</f>
        <v>0</v>
      </c>
      <c r="C40" s="90">
        <f>SUMIFS('reductions data'!H:H,'reductions data'!B:B,$A$6,'reductions data'!G:G,A40)</f>
        <v>0</v>
      </c>
    </row>
    <row r="41" spans="1:3" x14ac:dyDescent="0.25">
      <c r="A41" s="324" t="s">
        <v>1288</v>
      </c>
      <c r="B41" s="89">
        <f>COUNTIFS('reductions data'!B:B,$A$6,'reductions data'!G:G,A41)</f>
        <v>0</v>
      </c>
      <c r="C41" s="90">
        <f>SUMIFS('reductions data'!H:H,'reductions data'!B:B,$A$6,'reductions data'!G:G,A41)</f>
        <v>0</v>
      </c>
    </row>
    <row r="42" spans="1:3" x14ac:dyDescent="0.25">
      <c r="A42" s="113" t="s">
        <v>933</v>
      </c>
      <c r="B42" s="89">
        <f>COUNTIFS('reductions data'!B:B,$A$6,'reductions data'!G:G,A42)</f>
        <v>0</v>
      </c>
      <c r="C42" s="90">
        <f>SUMIFS('reductions data'!H:H,'reductions data'!B:B,$A$6,'reductions data'!G:G,A42)</f>
        <v>0</v>
      </c>
    </row>
    <row r="43" spans="1:3" x14ac:dyDescent="0.25">
      <c r="A43" s="113" t="s">
        <v>938</v>
      </c>
      <c r="B43" s="89">
        <f>COUNTIFS('reductions data'!B:B,$A$6,'reductions data'!G:G,A43)</f>
        <v>0</v>
      </c>
      <c r="C43" s="90">
        <f>SUMIFS('reductions data'!H:H,'reductions data'!B:B,$A$6,'reductions data'!G:G,A43)</f>
        <v>0</v>
      </c>
    </row>
    <row r="44" spans="1:3" x14ac:dyDescent="0.25">
      <c r="A44" s="113" t="s">
        <v>935</v>
      </c>
      <c r="B44" s="89">
        <f>COUNTIFS('reductions data'!B:B,$A$6,'reductions data'!G:G,A44)</f>
        <v>0</v>
      </c>
      <c r="C44" s="90">
        <f>SUMIFS('reductions data'!H:H,'reductions data'!B:B,$A$6,'reductions data'!G:G,A44)</f>
        <v>0</v>
      </c>
    </row>
    <row r="45" spans="1:3" x14ac:dyDescent="0.25">
      <c r="A45" s="112" t="s">
        <v>1282</v>
      </c>
      <c r="B45" s="89">
        <f>COUNTIFS('reductions data'!B:B,$A$6,'reductions data'!G:G,A45)</f>
        <v>0</v>
      </c>
      <c r="C45" s="90">
        <f>SUMIFS('reductions data'!H:H,'reductions data'!B:B,$A$6,'reductions data'!G:G,A45)</f>
        <v>0</v>
      </c>
    </row>
    <row r="46" spans="1:3" x14ac:dyDescent="0.25">
      <c r="A46" s="113" t="s">
        <v>1283</v>
      </c>
      <c r="B46" s="89">
        <f>COUNTIFS('reductions data'!B:B,$A$6,'reductions data'!G:G,A46)</f>
        <v>0</v>
      </c>
      <c r="C46" s="90">
        <f>SUMIFS('reductions data'!H:H,'reductions data'!B:B,$A$6,'reductions data'!G:G,A46)</f>
        <v>0</v>
      </c>
    </row>
    <row r="47" spans="1:3" x14ac:dyDescent="0.25">
      <c r="A47" s="113" t="s">
        <v>939</v>
      </c>
      <c r="B47" s="89">
        <f>COUNTIFS('reductions data'!B:B,$A$6,'reductions data'!G:G,A47)</f>
        <v>0</v>
      </c>
      <c r="C47" s="90">
        <f>SUMIFS('reductions data'!H:H,'reductions data'!B:B,$A$6,'reductions data'!G:G,A47)</f>
        <v>0</v>
      </c>
    </row>
    <row r="48" spans="1:3" x14ac:dyDescent="0.25">
      <c r="A48" s="113" t="s">
        <v>940</v>
      </c>
      <c r="B48" s="89">
        <f>COUNTIFS('reductions data'!B:B,$A$6,'reductions data'!G:G,A48)</f>
        <v>0</v>
      </c>
      <c r="C48" s="90">
        <f>SUMIFS('reductions data'!H:H,'reductions data'!B:B,$A$6,'reductions data'!G:G,A48)</f>
        <v>0</v>
      </c>
    </row>
    <row r="49" spans="1:3" x14ac:dyDescent="0.25">
      <c r="A49" s="113" t="s">
        <v>941</v>
      </c>
      <c r="B49" s="89">
        <f>COUNTIFS('reductions data'!B:B,$A$6,'reductions data'!G:G,A49)</f>
        <v>0</v>
      </c>
      <c r="C49" s="90">
        <f>SUMIFS('reductions data'!H:H,'reductions data'!B:B,$A$6,'reductions data'!G:G,A49)</f>
        <v>0</v>
      </c>
    </row>
    <row r="50" spans="1:3" x14ac:dyDescent="0.25">
      <c r="A50" s="113" t="s">
        <v>942</v>
      </c>
      <c r="B50" s="89">
        <f>COUNTIFS('reductions data'!B:B,$A$6,'reductions data'!G:G,A50)</f>
        <v>0</v>
      </c>
      <c r="C50" s="90">
        <f>SUMIFS('reductions data'!H:H,'reductions data'!B:B,$A$6,'reductions data'!G:G,A50)</f>
        <v>0</v>
      </c>
    </row>
    <row r="51" spans="1:3" x14ac:dyDescent="0.25">
      <c r="A51" s="113" t="s">
        <v>943</v>
      </c>
      <c r="B51" s="89">
        <f>COUNTIFS('reductions data'!B:B,$A$6,'reductions data'!G:G,A51)</f>
        <v>0</v>
      </c>
      <c r="C51" s="90">
        <f>SUMIFS('reductions data'!H:H,'reductions data'!B:B,$A$6,'reductions data'!G:G,A51)</f>
        <v>0</v>
      </c>
    </row>
    <row r="52" spans="1:3" x14ac:dyDescent="0.25">
      <c r="A52" s="113" t="s">
        <v>944</v>
      </c>
      <c r="B52" s="78">
        <f>COUNTIFS('reductions data'!B:B,$A$6,'reductions data'!G:G,A52)</f>
        <v>0</v>
      </c>
      <c r="C52" s="214">
        <f>SUMIFS('reductions data'!H:H,'reductions data'!B:B,$A$6,'reductions data'!G:G,A52)</f>
        <v>0</v>
      </c>
    </row>
    <row r="53" spans="1:3" x14ac:dyDescent="0.25">
      <c r="A53" s="113" t="s">
        <v>931</v>
      </c>
      <c r="B53" s="78">
        <f>COUNTIFS('reductions data'!B:B,$A$6,'reductions data'!G:G,A53)</f>
        <v>0</v>
      </c>
      <c r="C53" s="214">
        <f>SUMIFS('reductions data'!H:H,'reductions data'!B:B,$A$6,'reductions data'!G:G,A53)</f>
        <v>0</v>
      </c>
    </row>
    <row r="54" spans="1:3" x14ac:dyDescent="0.25">
      <c r="A54" s="113" t="s">
        <v>945</v>
      </c>
      <c r="B54" s="78">
        <f>COUNTIFS('reductions data'!B:B,$A$6,'reductions data'!G:G,A54)</f>
        <v>0</v>
      </c>
      <c r="C54" s="214">
        <f>SUMIFS('reductions data'!H:H,'reductions data'!B:B,$A$6,'reductions data'!G:G,A54)</f>
        <v>0</v>
      </c>
    </row>
    <row r="55" spans="1:3" x14ac:dyDescent="0.25">
      <c r="A55" s="324" t="s">
        <v>1284</v>
      </c>
      <c r="B55" s="328">
        <f>COUNTIFS('reductions data'!B:B,$A$6,'reductions data'!G:G,A55)</f>
        <v>0</v>
      </c>
      <c r="C55" s="214">
        <f>SUMIFS('reductions data'!H:H,'reductions data'!B:B,$A$6,'reductions data'!G:G,A55)</f>
        <v>0</v>
      </c>
    </row>
    <row r="56" spans="1:3" x14ac:dyDescent="0.25">
      <c r="A56" s="324" t="s">
        <v>1285</v>
      </c>
      <c r="B56" s="328">
        <f>COUNTIFS('reductions data'!B:B,$A$6,'reductions data'!G:G,A56)</f>
        <v>0</v>
      </c>
      <c r="C56" s="214">
        <f>SUMIFS('reductions data'!H:H,'reductions data'!B:B,$A$6,'reductions data'!G:G,A56)</f>
        <v>0</v>
      </c>
    </row>
    <row r="57" spans="1:3" x14ac:dyDescent="0.25">
      <c r="A57" s="324" t="s">
        <v>1289</v>
      </c>
      <c r="B57" s="328">
        <f>COUNTIFS('reductions data'!B:B,$A$6,'reductions data'!G:G,A57)</f>
        <v>0</v>
      </c>
      <c r="C57" s="214">
        <f>SUMIFS('reductions data'!H:H,'reductions data'!B:B,$A$6,'reductions data'!G:G,A57)</f>
        <v>0</v>
      </c>
    </row>
    <row r="58" spans="1:3" x14ac:dyDescent="0.25">
      <c r="A58" s="112" t="s">
        <v>946</v>
      </c>
      <c r="B58" s="78">
        <f>COUNTIFS('reductions data'!B:B,$A$6,'reductions data'!G:G,A58)</f>
        <v>0</v>
      </c>
      <c r="C58" s="214">
        <f>SUMIFS('reductions data'!H:H,'reductions data'!B:B,$A$6,'reductions data'!G:G,A58)</f>
        <v>0</v>
      </c>
    </row>
    <row r="59" spans="1:3" x14ac:dyDescent="0.25">
      <c r="A59" s="113" t="s">
        <v>947</v>
      </c>
      <c r="B59" s="78">
        <f>COUNTIFS('reductions data'!B:B,$A$6,'reductions data'!G:G,A59)</f>
        <v>0</v>
      </c>
      <c r="C59" s="315">
        <f>SUMIFS('reductions data'!H:H,'reductions data'!B:B,$A$6,'reductions data'!G:G,A59)</f>
        <v>0</v>
      </c>
    </row>
    <row r="60" spans="1:3" x14ac:dyDescent="0.25">
      <c r="A60" s="113" t="s">
        <v>948</v>
      </c>
      <c r="B60" s="78">
        <f>COUNTIFS('reductions data'!B:B,$A$6,'reductions data'!G:G,A60)</f>
        <v>0</v>
      </c>
      <c r="C60" s="315">
        <f>SUMIFS('reductions data'!H:H,'reductions data'!B:B,$A$6,'reductions data'!G:G,A60)</f>
        <v>0</v>
      </c>
    </row>
    <row r="61" spans="1:3" x14ac:dyDescent="0.25">
      <c r="A61" s="113" t="s">
        <v>949</v>
      </c>
      <c r="B61" s="78">
        <f>COUNTIFS('reductions data'!B:B,$A$6,'reductions data'!G:G,A61)</f>
        <v>0</v>
      </c>
      <c r="C61" s="315">
        <f>SUMIFS('reductions data'!H:H,'reductions data'!B:B,$A$6,'reductions data'!G:G,A61)</f>
        <v>0</v>
      </c>
    </row>
    <row r="62" spans="1:3" x14ac:dyDescent="0.25">
      <c r="A62" s="113" t="s">
        <v>950</v>
      </c>
      <c r="B62" s="78">
        <f>COUNTIFS('reductions data'!B:B,$A$6,'reductions data'!G:G,A62)</f>
        <v>0</v>
      </c>
      <c r="C62" s="214">
        <f>SUMIFS('reductions data'!H:H,'reductions data'!B:B,$A$6,'reductions data'!G:G,A62)</f>
        <v>0</v>
      </c>
    </row>
    <row r="63" spans="1:3" x14ac:dyDescent="0.25">
      <c r="A63" s="113" t="s">
        <v>951</v>
      </c>
      <c r="B63" s="78">
        <f>COUNTIFS('reductions data'!B:B,$A$6,'reductions data'!G:G,A63)</f>
        <v>0</v>
      </c>
      <c r="C63" s="214">
        <f>SUMIFS('reductions data'!H:H,'reductions data'!B:B,$A$6,'reductions data'!G:G,A63)</f>
        <v>0</v>
      </c>
    </row>
    <row r="64" spans="1:3" x14ac:dyDescent="0.25">
      <c r="A64" s="113" t="s">
        <v>952</v>
      </c>
      <c r="B64" s="78">
        <f>COUNTIFS('reductions data'!B:B,$A$6,'reductions data'!G:G,A64)</f>
        <v>0</v>
      </c>
      <c r="C64" s="214">
        <f>SUMIFS('reductions data'!H:H,'reductions data'!B:B,$A$6,'reductions data'!G:G,A64)</f>
        <v>0</v>
      </c>
    </row>
  </sheetData>
  <sheetProtection autoFilter="0"/>
  <sortState xmlns:xlrd2="http://schemas.microsoft.com/office/spreadsheetml/2017/richdata2" ref="A10:C64">
    <sortCondition ref="A10:A64"/>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sqref="A1:N1"/>
    </sheetView>
  </sheetViews>
  <sheetFormatPr defaultColWidth="9.140625" defaultRowHeight="15" x14ac:dyDescent="0.2"/>
  <cols>
    <col min="1" max="1" width="4.42578125" style="1" customWidth="1"/>
    <col min="2" max="2" width="38.140625" style="1" customWidth="1"/>
    <col min="3" max="3" width="13.85546875" style="2" bestFit="1" customWidth="1"/>
    <col min="4" max="4" width="12.85546875" style="2" customWidth="1"/>
    <col min="5" max="5" width="17.28515625" style="2" customWidth="1"/>
    <col min="6" max="6" width="14" style="2" customWidth="1"/>
    <col min="7" max="7" width="12.42578125" style="2" customWidth="1"/>
    <col min="8" max="8" width="17.7109375" style="2" customWidth="1"/>
    <col min="9" max="9" width="13.42578125" style="2" customWidth="1"/>
    <col min="10" max="10" width="12.42578125" style="2" customWidth="1"/>
    <col min="11" max="11" width="16.85546875" style="2" customWidth="1"/>
    <col min="12" max="12" width="15" style="2" customWidth="1"/>
    <col min="13" max="13" width="13.42578125" style="2" customWidth="1"/>
    <col min="14" max="14" width="16.7109375" style="2" customWidth="1"/>
    <col min="15" max="16384" width="9.140625" style="1"/>
  </cols>
  <sheetData>
    <row r="1" spans="1:46" s="3" customFormat="1" ht="57" customHeight="1" x14ac:dyDescent="0.2">
      <c r="A1" s="536" t="s">
        <v>1219</v>
      </c>
      <c r="B1" s="536"/>
      <c r="C1" s="536"/>
      <c r="D1" s="536"/>
      <c r="E1" s="536"/>
      <c r="F1" s="536"/>
      <c r="G1" s="536"/>
      <c r="H1" s="536"/>
      <c r="I1" s="536"/>
      <c r="J1" s="536"/>
      <c r="K1" s="536"/>
      <c r="L1" s="536"/>
      <c r="M1" s="536"/>
      <c r="N1" s="536"/>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30"/>
      <c r="B2" s="430"/>
      <c r="C2" s="430"/>
      <c r="D2" s="430"/>
      <c r="E2" s="430"/>
      <c r="F2" s="430"/>
      <c r="G2" s="430"/>
      <c r="H2" s="430"/>
      <c r="I2" s="430"/>
      <c r="J2" s="430"/>
      <c r="K2" s="430"/>
      <c r="L2" s="430"/>
      <c r="M2" s="430"/>
      <c r="N2" s="430"/>
      <c r="O2" s="271"/>
      <c r="P2" s="271"/>
      <c r="Q2" s="5"/>
      <c r="R2" s="5"/>
    </row>
    <row r="3" spans="1:46" s="2" customFormat="1" ht="39" customHeight="1" thickBot="1" x14ac:dyDescent="0.25"/>
    <row r="4" spans="1:46" ht="28.5" customHeight="1" x14ac:dyDescent="0.2">
      <c r="B4" s="600" t="s">
        <v>1220</v>
      </c>
      <c r="C4" s="591" t="s">
        <v>1019</v>
      </c>
      <c r="D4" s="592"/>
      <c r="E4" s="593"/>
      <c r="F4" s="594" t="s">
        <v>1024</v>
      </c>
      <c r="G4" s="595"/>
      <c r="H4" s="596"/>
      <c r="I4" s="597" t="s">
        <v>1025</v>
      </c>
      <c r="J4" s="598"/>
      <c r="K4" s="599"/>
      <c r="L4" s="592" t="s">
        <v>1221</v>
      </c>
      <c r="M4" s="592"/>
      <c r="N4" s="593"/>
      <c r="P4" s="5"/>
      <c r="Q4" s="5"/>
      <c r="R4" s="5"/>
    </row>
    <row r="5" spans="1:46" ht="60" x14ac:dyDescent="0.2">
      <c r="B5" s="601"/>
      <c r="C5" s="187" t="s">
        <v>1222</v>
      </c>
      <c r="D5" s="37" t="s">
        <v>1223</v>
      </c>
      <c r="E5" s="188" t="s">
        <v>1224</v>
      </c>
      <c r="F5" s="275" t="s">
        <v>1222</v>
      </c>
      <c r="G5" s="276" t="s">
        <v>1223</v>
      </c>
      <c r="H5" s="277" t="s">
        <v>1224</v>
      </c>
      <c r="I5" s="272" t="s">
        <v>1222</v>
      </c>
      <c r="J5" s="273" t="s">
        <v>1223</v>
      </c>
      <c r="K5" s="274" t="s">
        <v>1224</v>
      </c>
      <c r="L5" s="202" t="s">
        <v>1222</v>
      </c>
      <c r="M5" s="37" t="s">
        <v>1225</v>
      </c>
      <c r="N5" s="188" t="s">
        <v>1224</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1210</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defaultColWidth="9.140625" defaultRowHeight="14.25" x14ac:dyDescent="0.2"/>
  <cols>
    <col min="1" max="1" width="15.42578125" style="3" customWidth="1"/>
    <col min="2" max="2" width="26.42578125" style="3" customWidth="1"/>
    <col min="3" max="3" width="24" style="3" customWidth="1"/>
    <col min="4" max="4" width="52.85546875" style="3" customWidth="1"/>
    <col min="5" max="5" width="14.42578125" style="3" customWidth="1"/>
    <col min="6" max="6" width="10.85546875" style="3" customWidth="1"/>
    <col min="7" max="9" width="10.42578125" style="3" customWidth="1"/>
    <col min="10" max="10" width="11.42578125" style="3" customWidth="1"/>
    <col min="11" max="12" width="9.140625" style="3" customWidth="1"/>
    <col min="13" max="13" width="12" style="3" customWidth="1"/>
    <col min="14" max="14" width="11.42578125" style="3" customWidth="1"/>
    <col min="15" max="15" width="3.42578125" style="3" customWidth="1"/>
    <col min="16" max="17" width="22.42578125" style="3" bestFit="1" customWidth="1"/>
    <col min="18" max="18" width="32.42578125" style="3" bestFit="1" customWidth="1"/>
    <col min="19" max="19" width="14.42578125" style="3" bestFit="1" customWidth="1"/>
    <col min="20" max="20" width="12.42578125" style="3" bestFit="1" customWidth="1"/>
    <col min="21" max="23" width="10.42578125" style="3" bestFit="1" customWidth="1"/>
    <col min="24" max="24" width="11.42578125" style="3" bestFit="1" customWidth="1"/>
    <col min="25" max="25" width="10" style="3" bestFit="1" customWidth="1"/>
    <col min="26" max="26" width="9.140625" style="3"/>
    <col min="27" max="27" width="3.42578125" style="3" customWidth="1"/>
    <col min="28" max="29" width="20.42578125" style="3" customWidth="1"/>
    <col min="30" max="30" width="37.42578125" style="3" customWidth="1"/>
    <col min="31" max="31" width="14.42578125" style="3" bestFit="1" customWidth="1"/>
    <col min="32" max="32" width="11.42578125" style="3" bestFit="1" customWidth="1"/>
    <col min="33" max="35" width="10.42578125" style="3" bestFit="1" customWidth="1"/>
    <col min="36" max="36" width="11.42578125" style="3" bestFit="1" customWidth="1"/>
    <col min="37" max="41" width="9.140625" style="3"/>
    <col min="42" max="42" width="5.42578125" style="3" customWidth="1"/>
    <col min="43" max="43" width="9.140625" style="3"/>
    <col min="44" max="44" width="255.42578125" style="3" customWidth="1"/>
    <col min="45" max="45" width="127.42578125" style="3" customWidth="1"/>
    <col min="46" max="46" width="16.42578125" style="3" bestFit="1" customWidth="1"/>
    <col min="47" max="48" width="10" style="3" bestFit="1" customWidth="1"/>
    <col min="49" max="49" width="9.42578125" style="3" bestFit="1" customWidth="1"/>
    <col min="50" max="53" width="10" style="3" bestFit="1" customWidth="1"/>
    <col min="54" max="16384" width="9.140625" style="3"/>
  </cols>
  <sheetData>
    <row r="1" spans="1:52" ht="82.5" customHeight="1" x14ac:dyDescent="0.2">
      <c r="A1" s="602" t="s">
        <v>1226</v>
      </c>
      <c r="B1" s="602"/>
      <c r="C1" s="602"/>
      <c r="D1" s="602"/>
      <c r="E1" s="602"/>
      <c r="F1" s="602"/>
      <c r="G1" s="602"/>
      <c r="H1" s="602"/>
      <c r="I1" s="602"/>
      <c r="J1" s="602"/>
      <c r="K1" s="602"/>
      <c r="L1" s="602"/>
      <c r="M1" s="602"/>
      <c r="N1" s="602"/>
      <c r="O1" s="602"/>
      <c r="P1" s="602"/>
      <c r="Q1" s="602"/>
      <c r="R1" s="602"/>
      <c r="S1" s="602"/>
      <c r="T1" s="602"/>
    </row>
    <row r="2" spans="1:52" s="1" customFormat="1" ht="59.25" customHeight="1" x14ac:dyDescent="0.2">
      <c r="A2" s="603" t="s">
        <v>1227</v>
      </c>
      <c r="B2" s="603"/>
      <c r="C2" s="604" t="e">
        <f>home!#REF!</f>
        <v>#REF!</v>
      </c>
      <c r="D2" s="604"/>
      <c r="E2" s="604"/>
      <c r="F2" s="604"/>
      <c r="G2" s="604"/>
      <c r="H2" s="604"/>
      <c r="I2" s="604"/>
      <c r="J2" s="604"/>
      <c r="K2" s="604"/>
      <c r="L2" s="604"/>
      <c r="M2" s="604"/>
      <c r="N2" s="604"/>
      <c r="O2" s="604"/>
      <c r="P2" s="604"/>
      <c r="Q2" s="604"/>
      <c r="R2" s="604"/>
      <c r="S2" s="604"/>
      <c r="T2" s="604"/>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25" x14ac:dyDescent="0.2">
      <c r="A4" s="16"/>
      <c r="B4" s="16"/>
      <c r="C4" s="16"/>
      <c r="D4" s="16" t="s">
        <v>1228</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2"/>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defaultColWidth="9.140625" defaultRowHeight="14.25" x14ac:dyDescent="0.2"/>
  <cols>
    <col min="1" max="1" width="15.42578125" style="3" customWidth="1"/>
    <col min="2" max="2" width="26.42578125" style="3" customWidth="1"/>
    <col min="3" max="3" width="24" style="3" customWidth="1"/>
    <col min="4" max="4" width="52.85546875" style="3" customWidth="1"/>
    <col min="5" max="5" width="14.42578125" style="3" customWidth="1"/>
    <col min="6" max="6" width="10.85546875" style="3" customWidth="1"/>
    <col min="7" max="9" width="10.42578125" style="3" customWidth="1"/>
    <col min="10" max="10" width="11.42578125" style="3" customWidth="1"/>
    <col min="11" max="12" width="9.140625" style="3" customWidth="1"/>
    <col min="13" max="13" width="12" style="3" customWidth="1"/>
    <col min="14" max="14" width="11.42578125" style="3" customWidth="1"/>
    <col min="15" max="15" width="3.42578125" style="3" customWidth="1"/>
    <col min="16" max="17" width="22.42578125" style="3" bestFit="1" customWidth="1"/>
    <col min="18" max="18" width="32.42578125" style="3" bestFit="1" customWidth="1"/>
    <col min="19" max="19" width="14.42578125" style="3" bestFit="1" customWidth="1"/>
    <col min="20" max="20" width="12.42578125" style="3" bestFit="1" customWidth="1"/>
    <col min="21" max="23" width="10.42578125" style="3" bestFit="1" customWidth="1"/>
    <col min="24" max="24" width="11.42578125" style="3" bestFit="1" customWidth="1"/>
    <col min="25" max="25" width="10" style="3" bestFit="1" customWidth="1"/>
    <col min="26" max="26" width="9.140625" style="3"/>
    <col min="27" max="27" width="3.42578125" style="3" customWidth="1"/>
    <col min="28" max="29" width="20.42578125" style="3" customWidth="1"/>
    <col min="30" max="30" width="37.42578125" style="3" customWidth="1"/>
    <col min="31" max="31" width="14.42578125" style="3" bestFit="1" customWidth="1"/>
    <col min="32" max="32" width="11.42578125" style="3" bestFit="1" customWidth="1"/>
    <col min="33" max="35" width="10.42578125" style="3" bestFit="1" customWidth="1"/>
    <col min="36" max="36" width="11.42578125" style="3" bestFit="1" customWidth="1"/>
    <col min="37" max="41" width="9.140625" style="3"/>
    <col min="42" max="42" width="5.42578125" style="3" customWidth="1"/>
    <col min="43" max="43" width="9.140625" style="3"/>
    <col min="44" max="44" width="255.42578125" style="3" customWidth="1"/>
    <col min="45" max="45" width="127.42578125" style="3" customWidth="1"/>
    <col min="46" max="46" width="16.42578125" style="3" bestFit="1" customWidth="1"/>
    <col min="47" max="48" width="10" style="3" bestFit="1" customWidth="1"/>
    <col min="49" max="49" width="9.42578125" style="3" bestFit="1" customWidth="1"/>
    <col min="50" max="53" width="10" style="3" bestFit="1" customWidth="1"/>
    <col min="54" max="16384" width="9.140625" style="3"/>
  </cols>
  <sheetData>
    <row r="1" spans="1:52" ht="48" customHeight="1" x14ac:dyDescent="0.2">
      <c r="A1" s="605" t="s">
        <v>1229</v>
      </c>
      <c r="B1" s="605"/>
      <c r="C1" s="605"/>
      <c r="D1" s="605"/>
      <c r="E1" s="605"/>
      <c r="F1" s="605"/>
      <c r="G1" s="605"/>
      <c r="H1" s="605"/>
      <c r="I1" s="605"/>
      <c r="J1" s="605"/>
      <c r="K1" s="605"/>
      <c r="L1" s="605"/>
      <c r="M1" s="605"/>
      <c r="N1" s="605"/>
      <c r="O1" s="605"/>
      <c r="P1" s="605"/>
      <c r="Q1" s="605"/>
      <c r="R1" s="605"/>
      <c r="S1" s="605"/>
      <c r="T1" s="605"/>
    </row>
    <row r="2" spans="1:52" s="1" customFormat="1" ht="36.75" customHeight="1" x14ac:dyDescent="0.2">
      <c r="A2" s="606" t="s">
        <v>1227</v>
      </c>
      <c r="B2" s="606"/>
      <c r="C2" s="607" t="e">
        <f>home!#REF!</f>
        <v>#REF!</v>
      </c>
      <c r="D2" s="607"/>
      <c r="E2" s="607"/>
      <c r="F2" s="607"/>
      <c r="G2" s="607"/>
      <c r="H2" s="607"/>
      <c r="I2" s="607"/>
      <c r="J2" s="607"/>
      <c r="K2" s="607"/>
      <c r="L2" s="607"/>
      <c r="M2" s="607"/>
      <c r="N2" s="607"/>
      <c r="O2" s="607"/>
      <c r="P2" s="607"/>
      <c r="Q2" s="607"/>
      <c r="R2" s="607"/>
      <c r="S2" s="607"/>
      <c r="T2" s="607"/>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25"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2"/>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defaultColWidth="9.140625" defaultRowHeight="14.25" x14ac:dyDescent="0.2"/>
  <cols>
    <col min="1" max="1" width="15.42578125" style="3" customWidth="1"/>
    <col min="2" max="2" width="26.42578125" style="3" customWidth="1"/>
    <col min="3" max="3" width="24" style="3" customWidth="1"/>
    <col min="4" max="4" width="52.85546875" style="3" customWidth="1"/>
    <col min="5" max="5" width="14.42578125" style="3" customWidth="1"/>
    <col min="6" max="6" width="10.85546875" style="3" customWidth="1"/>
    <col min="7" max="9" width="10.42578125" style="3" customWidth="1"/>
    <col min="10" max="10" width="11.42578125" style="3" customWidth="1"/>
    <col min="11" max="12" width="9.140625" style="3" customWidth="1"/>
    <col min="13" max="13" width="12" style="3" customWidth="1"/>
    <col min="14" max="14" width="11.42578125" style="3" customWidth="1"/>
    <col min="15" max="15" width="3.42578125" style="3" customWidth="1"/>
    <col min="16" max="17" width="22.42578125" style="3" bestFit="1" customWidth="1"/>
    <col min="18" max="18" width="32.42578125" style="3" bestFit="1" customWidth="1"/>
    <col min="19" max="19" width="14.42578125" style="3" bestFit="1" customWidth="1"/>
    <col min="20" max="20" width="12.42578125" style="3" bestFit="1" customWidth="1"/>
    <col min="21" max="23" width="10.42578125" style="3" bestFit="1" customWidth="1"/>
    <col min="24" max="24" width="11.42578125" style="3" bestFit="1" customWidth="1"/>
    <col min="25" max="25" width="10" style="3" bestFit="1" customWidth="1"/>
    <col min="26" max="26" width="9.140625" style="3"/>
    <col min="27" max="27" width="3.42578125" style="3" customWidth="1"/>
    <col min="28" max="29" width="20.42578125" style="3" customWidth="1"/>
    <col min="30" max="30" width="37.42578125" style="3" customWidth="1"/>
    <col min="31" max="31" width="14.42578125" style="3" bestFit="1" customWidth="1"/>
    <col min="32" max="32" width="11.42578125" style="3" bestFit="1" customWidth="1"/>
    <col min="33" max="35" width="10.42578125" style="3" bestFit="1" customWidth="1"/>
    <col min="36" max="36" width="11.42578125" style="3" bestFit="1" customWidth="1"/>
    <col min="37" max="41" width="9.140625" style="3"/>
    <col min="42" max="42" width="5.42578125" style="3" customWidth="1"/>
    <col min="43" max="43" width="9.140625" style="3"/>
    <col min="44" max="44" width="255.42578125" style="3" customWidth="1"/>
    <col min="45" max="45" width="127.42578125" style="3" customWidth="1"/>
    <col min="46" max="46" width="16.42578125" style="3" bestFit="1" customWidth="1"/>
    <col min="47" max="48" width="10" style="3" bestFit="1" customWidth="1"/>
    <col min="49" max="49" width="9.42578125" style="3" bestFit="1" customWidth="1"/>
    <col min="50" max="53" width="10" style="3" bestFit="1" customWidth="1"/>
    <col min="54" max="16384" width="9.140625" style="3"/>
  </cols>
  <sheetData>
    <row r="1" spans="1:52" ht="48" customHeight="1" x14ac:dyDescent="0.2">
      <c r="A1" s="605" t="s">
        <v>1230</v>
      </c>
      <c r="B1" s="605"/>
      <c r="C1" s="605"/>
      <c r="D1" s="605"/>
      <c r="E1" s="605"/>
      <c r="F1" s="605"/>
      <c r="G1" s="605"/>
      <c r="H1" s="605"/>
      <c r="I1" s="605"/>
      <c r="J1" s="605"/>
      <c r="K1" s="605"/>
      <c r="L1" s="605"/>
      <c r="M1" s="605"/>
      <c r="N1" s="605"/>
      <c r="O1" s="605"/>
      <c r="P1" s="605"/>
      <c r="Q1" s="605"/>
      <c r="R1" s="605"/>
      <c r="S1" s="605"/>
      <c r="T1" s="605"/>
    </row>
    <row r="2" spans="1:52" s="1" customFormat="1" ht="36.75" customHeight="1" x14ac:dyDescent="0.2">
      <c r="A2" s="608" t="s">
        <v>1227</v>
      </c>
      <c r="B2" s="608"/>
      <c r="C2" s="607" t="e">
        <f>home!#REF!</f>
        <v>#REF!</v>
      </c>
      <c r="D2" s="607"/>
      <c r="E2" s="607"/>
      <c r="F2" s="607"/>
      <c r="G2" s="607"/>
      <c r="H2" s="607"/>
      <c r="I2" s="607"/>
      <c r="J2" s="607"/>
      <c r="K2" s="607"/>
      <c r="L2" s="607"/>
      <c r="M2" s="607"/>
      <c r="N2" s="607"/>
      <c r="O2" s="607"/>
      <c r="P2" s="607"/>
      <c r="Q2" s="607"/>
      <c r="R2" s="607"/>
      <c r="S2" s="607"/>
      <c r="T2" s="607"/>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25"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2"/>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C261C4-397E-4E52-ACEF-8067968E19D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c70bea-59c1-46b7-82d0-743ec8a3f6a9"/>
    <ds:schemaRef ds:uri="http://purl.org/dc/elements/1.1/"/>
    <ds:schemaRef ds:uri="http://schemas.microsoft.com/office/2006/metadata/properties"/>
    <ds:schemaRef ds:uri="557366f8-f91a-4956-a8f7-7dc824d04245"/>
    <ds:schemaRef ds:uri="http://www.w3.org/XML/1998/namespace"/>
    <ds:schemaRef ds:uri="http://purl.org/dc/dcmitype/"/>
  </ds:schemaRefs>
</ds:datastoreItem>
</file>

<file path=customXml/itemProps2.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2DFDF0-ACE5-4080-86C8-F8F369747E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Wright, Jay</cp:lastModifiedBy>
  <cp:revision/>
  <dcterms:created xsi:type="dcterms:W3CDTF">2018-06-21T11:47:43Z</dcterms:created>
  <dcterms:modified xsi:type="dcterms:W3CDTF">2022-06-29T09:06:14Z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